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DCC9AC64-EE9A-4019-BDA2-4E6951E3BB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'П.1.3'!$W$15:$AB$77</definedName>
    <definedName name="_xlnm._FilterDatabase" localSheetId="2" hidden="1">'П.2.2'!$A$16:$HC$40</definedName>
    <definedName name="_xlnm.Print_Area" localSheetId="0">'П.1.1 '!$A$1:$V$74</definedName>
    <definedName name="_xlnm.Print_Area" localSheetId="1">'П.1.3'!$A$1:$AJ$78</definedName>
    <definedName name="_xlnm.Print_Area" localSheetId="2">'П.2.2'!$A$1:$AA$50</definedName>
  </definedNames>
  <calcPr calcId="181029"/>
</workbook>
</file>

<file path=xl/calcChain.xml><?xml version="1.0" encoding="utf-8"?>
<calcChain xmlns="http://schemas.openxmlformats.org/spreadsheetml/2006/main">
  <c r="B45" i="4" l="1"/>
  <c r="S26" i="10" l="1"/>
  <c r="M57" i="10" l="1"/>
  <c r="P57" i="10" s="1"/>
  <c r="G38" i="8"/>
  <c r="E38" i="8"/>
  <c r="P27" i="10" l="1"/>
  <c r="B41" i="8" l="1"/>
  <c r="I30" i="8" l="1"/>
  <c r="J30" i="8"/>
  <c r="I31" i="8"/>
  <c r="J31" i="8"/>
  <c r="I32" i="8"/>
  <c r="J32" i="8"/>
  <c r="I33" i="8"/>
  <c r="J33" i="8"/>
  <c r="I34" i="8"/>
  <c r="J34" i="8"/>
  <c r="I35" i="8"/>
  <c r="J35" i="8"/>
  <c r="I36" i="8"/>
  <c r="J36" i="8"/>
  <c r="I37" i="8"/>
  <c r="J37" i="8"/>
  <c r="I38" i="8"/>
  <c r="J38" i="8"/>
  <c r="I39" i="8"/>
  <c r="J39" i="8"/>
  <c r="I40" i="8"/>
  <c r="J40" i="8"/>
  <c r="J29" i="8"/>
  <c r="I29" i="8"/>
  <c r="A30" i="8"/>
  <c r="B30" i="8"/>
  <c r="A31" i="8"/>
  <c r="B31" i="8"/>
  <c r="A32" i="8"/>
  <c r="B32" i="8"/>
  <c r="A33" i="8"/>
  <c r="B33" i="8"/>
  <c r="A34" i="8"/>
  <c r="B34" i="8"/>
  <c r="A35" i="8"/>
  <c r="B35" i="8"/>
  <c r="A36" i="8"/>
  <c r="B36" i="8"/>
  <c r="A37" i="8"/>
  <c r="B37" i="8"/>
  <c r="A38" i="8"/>
  <c r="B38" i="8"/>
  <c r="A39" i="8"/>
  <c r="B39" i="8"/>
  <c r="A40" i="8"/>
  <c r="B40" i="8"/>
  <c r="A29" i="8"/>
  <c r="B29" i="8"/>
  <c r="I27" i="8"/>
  <c r="J27" i="8"/>
  <c r="I28" i="8"/>
  <c r="J28" i="8"/>
  <c r="J26" i="8"/>
  <c r="I26" i="8"/>
  <c r="A27" i="8"/>
  <c r="B27" i="8"/>
  <c r="A28" i="8"/>
  <c r="B28" i="8"/>
  <c r="A26" i="8"/>
  <c r="B26" i="8"/>
  <c r="B24" i="8"/>
  <c r="I18" i="8"/>
  <c r="J18" i="8"/>
  <c r="I19" i="8"/>
  <c r="J19" i="8"/>
  <c r="I20" i="8"/>
  <c r="J20" i="8"/>
  <c r="I21" i="8"/>
  <c r="J21" i="8"/>
  <c r="I22" i="8"/>
  <c r="J22" i="8"/>
  <c r="I23" i="8"/>
  <c r="J23" i="8"/>
  <c r="I24" i="8"/>
  <c r="J24" i="8"/>
  <c r="I25" i="8"/>
  <c r="J25" i="8"/>
  <c r="J17" i="8"/>
  <c r="I17" i="8"/>
  <c r="A25" i="8"/>
  <c r="B25" i="8"/>
  <c r="A18" i="8"/>
  <c r="B18" i="8"/>
  <c r="A19" i="8"/>
  <c r="B19" i="8"/>
  <c r="A20" i="8"/>
  <c r="B20" i="8"/>
  <c r="A21" i="8"/>
  <c r="B21" i="8"/>
  <c r="A22" i="8"/>
  <c r="B22" i="8"/>
  <c r="A23" i="8"/>
  <c r="B23" i="8"/>
  <c r="A24" i="8"/>
  <c r="B17" i="8"/>
  <c r="A17" i="8"/>
  <c r="AJ71" i="4"/>
  <c r="AE71" i="4"/>
  <c r="AE70" i="4" s="1"/>
  <c r="AJ70" i="4" s="1"/>
  <c r="A71" i="4"/>
  <c r="B71" i="4"/>
  <c r="U52" i="4"/>
  <c r="V52" i="4"/>
  <c r="W52" i="4"/>
  <c r="X52" i="4"/>
  <c r="Y52" i="4"/>
  <c r="Z52" i="4"/>
  <c r="U53" i="4"/>
  <c r="V53" i="4"/>
  <c r="W53" i="4"/>
  <c r="X53" i="4"/>
  <c r="Y53" i="4"/>
  <c r="Z53" i="4"/>
  <c r="U54" i="4"/>
  <c r="V54" i="4"/>
  <c r="W54" i="4"/>
  <c r="X54" i="4"/>
  <c r="Y54" i="4"/>
  <c r="Z54" i="4"/>
  <c r="U55" i="4"/>
  <c r="V55" i="4"/>
  <c r="W55" i="4"/>
  <c r="X55" i="4"/>
  <c r="Y55" i="4"/>
  <c r="Z55" i="4"/>
  <c r="U56" i="4"/>
  <c r="V56" i="4"/>
  <c r="W56" i="4"/>
  <c r="X56" i="4"/>
  <c r="Y56" i="4"/>
  <c r="Z56" i="4"/>
  <c r="U57" i="4"/>
  <c r="V57" i="4"/>
  <c r="W57" i="4"/>
  <c r="X57" i="4"/>
  <c r="Y57" i="4"/>
  <c r="Z57" i="4"/>
  <c r="U58" i="4"/>
  <c r="V58" i="4"/>
  <c r="W58" i="4"/>
  <c r="X58" i="4"/>
  <c r="Y58" i="4"/>
  <c r="Z58" i="4"/>
  <c r="U59" i="4"/>
  <c r="V59" i="4"/>
  <c r="W59" i="4"/>
  <c r="X59" i="4"/>
  <c r="Y59" i="4"/>
  <c r="Z59" i="4"/>
  <c r="U60" i="4"/>
  <c r="V60" i="4"/>
  <c r="W60" i="4"/>
  <c r="X60" i="4"/>
  <c r="Y60" i="4"/>
  <c r="Z60" i="4"/>
  <c r="U61" i="4"/>
  <c r="V61" i="4"/>
  <c r="W61" i="4"/>
  <c r="X61" i="4"/>
  <c r="Y61" i="4"/>
  <c r="Z61" i="4"/>
  <c r="Z51" i="4"/>
  <c r="V51" i="4"/>
  <c r="W51" i="4"/>
  <c r="X51" i="4"/>
  <c r="Y51" i="4"/>
  <c r="U51" i="4"/>
  <c r="AG51" i="4"/>
  <c r="AH51" i="4"/>
  <c r="AI51" i="4"/>
  <c r="AE52" i="4"/>
  <c r="AF52" i="4"/>
  <c r="AE53" i="4"/>
  <c r="AE54" i="4"/>
  <c r="AE56" i="4"/>
  <c r="AG56" i="4"/>
  <c r="AE57" i="4"/>
  <c r="AH59" i="4"/>
  <c r="AI59" i="4"/>
  <c r="AE60" i="4"/>
  <c r="AG60" i="4"/>
  <c r="AE61" i="4"/>
  <c r="A51" i="4"/>
  <c r="B51" i="4"/>
  <c r="C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50" i="4"/>
  <c r="B50" i="4"/>
  <c r="U22" i="4"/>
  <c r="V22" i="4"/>
  <c r="W22" i="4"/>
  <c r="X22" i="4"/>
  <c r="Y22" i="4"/>
  <c r="Z22" i="4"/>
  <c r="U23" i="4"/>
  <c r="V23" i="4"/>
  <c r="W23" i="4"/>
  <c r="X23" i="4"/>
  <c r="Y23" i="4"/>
  <c r="Z23" i="4"/>
  <c r="U24" i="4"/>
  <c r="V24" i="4"/>
  <c r="W24" i="4"/>
  <c r="X24" i="4"/>
  <c r="Y24" i="4"/>
  <c r="Z24" i="4"/>
  <c r="U25" i="4"/>
  <c r="V25" i="4"/>
  <c r="W25" i="4"/>
  <c r="X25" i="4"/>
  <c r="Y25" i="4"/>
  <c r="U26" i="4"/>
  <c r="V26" i="4"/>
  <c r="W26" i="4"/>
  <c r="X26" i="4"/>
  <c r="Y26" i="4"/>
  <c r="U27" i="4"/>
  <c r="V27" i="4"/>
  <c r="W27" i="4"/>
  <c r="X27" i="4"/>
  <c r="Y27" i="4"/>
  <c r="Z27" i="4"/>
  <c r="U28" i="4"/>
  <c r="V28" i="4"/>
  <c r="W28" i="4"/>
  <c r="X28" i="4"/>
  <c r="Y28" i="4"/>
  <c r="U29" i="4"/>
  <c r="V29" i="4"/>
  <c r="W29" i="4"/>
  <c r="X29" i="4"/>
  <c r="Y29" i="4"/>
  <c r="Z29" i="4"/>
  <c r="AE23" i="4"/>
  <c r="AE24" i="4"/>
  <c r="AE25" i="4"/>
  <c r="AF25" i="4"/>
  <c r="AG25" i="4"/>
  <c r="AH25" i="4"/>
  <c r="AI25" i="4"/>
  <c r="AE26" i="4"/>
  <c r="AF26" i="4"/>
  <c r="AE27" i="4"/>
  <c r="AE28" i="4"/>
  <c r="AF28" i="4"/>
  <c r="AG28" i="4"/>
  <c r="AG29" i="4"/>
  <c r="AH29" i="4"/>
  <c r="AI29" i="4"/>
  <c r="AI45" i="4"/>
  <c r="AF45" i="4"/>
  <c r="AG45" i="4"/>
  <c r="AH45" i="4"/>
  <c r="AE45" i="4"/>
  <c r="AE46" i="4"/>
  <c r="A45" i="4"/>
  <c r="C45" i="4"/>
  <c r="A46" i="4"/>
  <c r="B46" i="4"/>
  <c r="C46" i="4"/>
  <c r="B44" i="4"/>
  <c r="A44" i="4"/>
  <c r="A25" i="4"/>
  <c r="B25" i="4"/>
  <c r="C25" i="4"/>
  <c r="A26" i="4"/>
  <c r="B26" i="4"/>
  <c r="C26" i="4"/>
  <c r="A27" i="4"/>
  <c r="B27" i="4"/>
  <c r="C27" i="4"/>
  <c r="A28" i="4"/>
  <c r="B28" i="4"/>
  <c r="C28" i="4"/>
  <c r="A29" i="4"/>
  <c r="B29" i="4"/>
  <c r="C29" i="4"/>
  <c r="A22" i="4"/>
  <c r="B22" i="4"/>
  <c r="C22" i="4"/>
  <c r="A23" i="4"/>
  <c r="B23" i="4"/>
  <c r="C23" i="4"/>
  <c r="A24" i="4"/>
  <c r="B24" i="4"/>
  <c r="C24" i="4"/>
  <c r="A21" i="4"/>
  <c r="AJ45" i="4" l="1"/>
  <c r="AJ25" i="4"/>
  <c r="P24" i="10" l="1"/>
  <c r="Z26" i="4" s="1"/>
  <c r="P23" i="10"/>
  <c r="Z25" i="4" s="1"/>
  <c r="P26" i="10"/>
  <c r="Z28" i="4" s="1"/>
  <c r="R56" i="10"/>
  <c r="T58" i="10"/>
  <c r="AH60" i="4" s="1"/>
  <c r="Q53" i="10"/>
  <c r="AE55" i="4" s="1"/>
  <c r="Q56" i="10"/>
  <c r="AE58" i="4" s="1"/>
  <c r="Q20" i="10"/>
  <c r="AE22" i="4" s="1"/>
  <c r="Q19" i="10"/>
  <c r="AE21" i="4" s="1"/>
  <c r="Q67" i="10"/>
  <c r="S56" i="10" l="1"/>
  <c r="AF58" i="4"/>
  <c r="U58" i="10"/>
  <c r="AI60" i="4" s="1"/>
  <c r="V68" i="10"/>
  <c r="R27" i="10"/>
  <c r="AF29" i="4" s="1"/>
  <c r="Q27" i="10"/>
  <c r="R59" i="10"/>
  <c r="AF61" i="4" s="1"/>
  <c r="R58" i="10"/>
  <c r="AF60" i="4" s="1"/>
  <c r="AJ60" i="4" s="1"/>
  <c r="R57" i="10"/>
  <c r="AF59" i="4" s="1"/>
  <c r="Q57" i="10"/>
  <c r="AE59" i="4" s="1"/>
  <c r="R55" i="10"/>
  <c r="AF57" i="4" s="1"/>
  <c r="T54" i="10"/>
  <c r="R54" i="10"/>
  <c r="AF56" i="4" s="1"/>
  <c r="U53" i="10"/>
  <c r="AI55" i="4" s="1"/>
  <c r="T53" i="10"/>
  <c r="AH55" i="4" s="1"/>
  <c r="S53" i="10"/>
  <c r="AG55" i="4" s="1"/>
  <c r="R53" i="10"/>
  <c r="AF55" i="4" s="1"/>
  <c r="AJ55" i="4" s="1"/>
  <c r="R52" i="10"/>
  <c r="R51" i="10"/>
  <c r="AF53" i="4" s="1"/>
  <c r="S50" i="10"/>
  <c r="Q49" i="10"/>
  <c r="R48" i="10"/>
  <c r="Q41" i="10"/>
  <c r="R44" i="10"/>
  <c r="T24" i="10"/>
  <c r="AH26" i="4" s="1"/>
  <c r="S24" i="10"/>
  <c r="AG26" i="4" s="1"/>
  <c r="T26" i="10"/>
  <c r="AH28" i="4" s="1"/>
  <c r="V23" i="10"/>
  <c r="Q21" i="8" s="1"/>
  <c r="R25" i="10"/>
  <c r="AF27" i="4" s="1"/>
  <c r="R22" i="10"/>
  <c r="R21" i="10"/>
  <c r="R20" i="10"/>
  <c r="R49" i="10" l="1"/>
  <c r="AF51" i="4" s="1"/>
  <c r="AJ51" i="4" s="1"/>
  <c r="Q47" i="10"/>
  <c r="AE51" i="4"/>
  <c r="S48" i="10"/>
  <c r="T48" i="10" s="1"/>
  <c r="U48" i="10" s="1"/>
  <c r="R47" i="10"/>
  <c r="V27" i="10"/>
  <c r="Q25" i="8" s="1"/>
  <c r="AE29" i="4"/>
  <c r="S21" i="10"/>
  <c r="AF23" i="4"/>
  <c r="S44" i="10"/>
  <c r="AF46" i="4"/>
  <c r="T50" i="10"/>
  <c r="AG52" i="4"/>
  <c r="U54" i="10"/>
  <c r="AI56" i="4" s="1"/>
  <c r="AH56" i="4"/>
  <c r="V67" i="10"/>
  <c r="Q41" i="8"/>
  <c r="S20" i="10"/>
  <c r="AF22" i="4"/>
  <c r="S22" i="10"/>
  <c r="AF24" i="4"/>
  <c r="S52" i="10"/>
  <c r="AF54" i="4"/>
  <c r="T56" i="10"/>
  <c r="AG58" i="4"/>
  <c r="Q18" i="10"/>
  <c r="V53" i="10"/>
  <c r="Q34" i="8" s="1"/>
  <c r="S57" i="10"/>
  <c r="S51" i="10"/>
  <c r="S59" i="10"/>
  <c r="S55" i="10"/>
  <c r="R19" i="10"/>
  <c r="AF21" i="4" s="1"/>
  <c r="S25" i="10"/>
  <c r="U26" i="10"/>
  <c r="U24" i="10"/>
  <c r="AJ56" i="4" l="1"/>
  <c r="AJ29" i="4"/>
  <c r="AE20" i="4"/>
  <c r="V54" i="10"/>
  <c r="Q35" i="8" s="1"/>
  <c r="T25" i="10"/>
  <c r="AG27" i="4"/>
  <c r="T44" i="10"/>
  <c r="AG46" i="4"/>
  <c r="AF20" i="4"/>
  <c r="T59" i="10"/>
  <c r="AG61" i="4"/>
  <c r="V57" i="10"/>
  <c r="Q38" i="8" s="1"/>
  <c r="AG59" i="4"/>
  <c r="AJ59" i="4" s="1"/>
  <c r="T52" i="10"/>
  <c r="AG54" i="4"/>
  <c r="T22" i="10"/>
  <c r="AG24" i="4"/>
  <c r="V24" i="10"/>
  <c r="Q22" i="8" s="1"/>
  <c r="AI26" i="4"/>
  <c r="AJ26" i="4" s="1"/>
  <c r="T51" i="10"/>
  <c r="AG53" i="4"/>
  <c r="AH52" i="4"/>
  <c r="U50" i="10"/>
  <c r="T21" i="10"/>
  <c r="AG23" i="4"/>
  <c r="V26" i="10"/>
  <c r="Q24" i="8" s="1"/>
  <c r="AI28" i="4"/>
  <c r="AJ28" i="4" s="1"/>
  <c r="T55" i="10"/>
  <c r="AG57" i="4"/>
  <c r="U56" i="10"/>
  <c r="AH58" i="4"/>
  <c r="T20" i="10"/>
  <c r="AG22" i="4"/>
  <c r="S19" i="10"/>
  <c r="AG21" i="4" s="1"/>
  <c r="R18" i="10"/>
  <c r="V58" i="10"/>
  <c r="Q39" i="8" s="1"/>
  <c r="T47" i="10" l="1"/>
  <c r="U51" i="10"/>
  <c r="AI53" i="4" s="1"/>
  <c r="AH53" i="4"/>
  <c r="AJ53" i="4" s="1"/>
  <c r="U20" i="10"/>
  <c r="AI22" i="4" s="1"/>
  <c r="AH22" i="4"/>
  <c r="U55" i="10"/>
  <c r="AH57" i="4"/>
  <c r="U22" i="10"/>
  <c r="AI24" i="4" s="1"/>
  <c r="AH24" i="4"/>
  <c r="AG20" i="4"/>
  <c r="U21" i="10"/>
  <c r="AI23" i="4" s="1"/>
  <c r="AH23" i="4"/>
  <c r="V51" i="10"/>
  <c r="AI58" i="4"/>
  <c r="AJ58" i="4" s="1"/>
  <c r="V56" i="10"/>
  <c r="Q37" i="8" s="1"/>
  <c r="AI52" i="4"/>
  <c r="AJ52" i="4" s="1"/>
  <c r="V50" i="10"/>
  <c r="Q31" i="8" s="1"/>
  <c r="U52" i="10"/>
  <c r="AI54" i="4" s="1"/>
  <c r="AH54" i="4"/>
  <c r="U59" i="10"/>
  <c r="AH61" i="4"/>
  <c r="U44" i="10"/>
  <c r="AI46" i="4" s="1"/>
  <c r="AH46" i="4"/>
  <c r="U25" i="10"/>
  <c r="AH27" i="4"/>
  <c r="T19" i="10"/>
  <c r="AH21" i="4" s="1"/>
  <c r="S18" i="10"/>
  <c r="AJ22" i="4" l="1"/>
  <c r="AJ54" i="4"/>
  <c r="AJ23" i="4"/>
  <c r="AJ24" i="4"/>
  <c r="AH20" i="4"/>
  <c r="V25" i="10"/>
  <c r="Q23" i="8" s="1"/>
  <c r="AI27" i="4"/>
  <c r="AJ27" i="4" s="1"/>
  <c r="AI61" i="4"/>
  <c r="AJ61" i="4" s="1"/>
  <c r="V59" i="10"/>
  <c r="Q40" i="8" s="1"/>
  <c r="AJ46" i="4"/>
  <c r="V52" i="10"/>
  <c r="Q33" i="8" s="1"/>
  <c r="Q32" i="8"/>
  <c r="AI57" i="4"/>
  <c r="AJ57" i="4" s="1"/>
  <c r="V55" i="10"/>
  <c r="Q36" i="8" s="1"/>
  <c r="T18" i="10"/>
  <c r="U19" i="10"/>
  <c r="U18" i="10" l="1"/>
  <c r="AI21" i="4"/>
  <c r="AI20" i="4" l="1"/>
  <c r="AJ21" i="4"/>
  <c r="AJ20" i="4" l="1"/>
  <c r="U41" i="10" l="1"/>
  <c r="AF44" i="4" l="1"/>
  <c r="AF43" i="4" s="1"/>
  <c r="AF19" i="4" s="1"/>
  <c r="AG44" i="4"/>
  <c r="AG43" i="4" s="1"/>
  <c r="AG19" i="4" s="1"/>
  <c r="AH44" i="4"/>
  <c r="AH43" i="4" s="1"/>
  <c r="AH19" i="4" s="1"/>
  <c r="AI44" i="4"/>
  <c r="AI43" i="4" s="1"/>
  <c r="AI19" i="4" s="1"/>
  <c r="AE44" i="4"/>
  <c r="AJ44" i="4" l="1"/>
  <c r="AE43" i="4"/>
  <c r="B21" i="4"/>
  <c r="C50" i="4"/>
  <c r="C44" i="4"/>
  <c r="C21" i="4"/>
  <c r="AJ43" i="4" l="1"/>
  <c r="AE19" i="4"/>
  <c r="U47" i="10"/>
  <c r="U46" i="10" s="1"/>
  <c r="AJ19" i="4" l="1"/>
  <c r="V42" i="10"/>
  <c r="Q26" i="8" l="1"/>
  <c r="V49" i="10"/>
  <c r="Q30" i="8" s="1"/>
  <c r="U17" i="10" l="1"/>
  <c r="U16" i="10" s="1"/>
  <c r="V43" i="10" l="1"/>
  <c r="R41" i="10"/>
  <c r="S41" i="10"/>
  <c r="T41" i="10"/>
  <c r="V44" i="10"/>
  <c r="Q28" i="8" s="1"/>
  <c r="Q27" i="8" l="1"/>
  <c r="V41" i="10"/>
  <c r="E25" i="10"/>
  <c r="E22" i="10"/>
  <c r="V48" i="10" l="1"/>
  <c r="Q29" i="8" l="1"/>
  <c r="V47" i="10"/>
  <c r="E17" i="10"/>
  <c r="N17" i="10"/>
  <c r="U21" i="4" l="1"/>
  <c r="AF50" i="4"/>
  <c r="AF49" i="4" s="1"/>
  <c r="AG50" i="4"/>
  <c r="AG49" i="4" s="1"/>
  <c r="AI50" i="4"/>
  <c r="AI49" i="4" s="1"/>
  <c r="AE50" i="4"/>
  <c r="V49" i="4"/>
  <c r="W49" i="4"/>
  <c r="X49" i="4"/>
  <c r="Y49" i="4"/>
  <c r="Z49" i="4"/>
  <c r="U49" i="4"/>
  <c r="U48" i="4" s="1"/>
  <c r="V18" i="4"/>
  <c r="W18" i="4"/>
  <c r="X18" i="4"/>
  <c r="Y18" i="4"/>
  <c r="Z18" i="4"/>
  <c r="U18" i="4"/>
  <c r="V20" i="4"/>
  <c r="W20" i="4"/>
  <c r="X20" i="4"/>
  <c r="Y20" i="4"/>
  <c r="Z20" i="4"/>
  <c r="U20" i="4"/>
  <c r="U19" i="4" s="1"/>
  <c r="V21" i="4"/>
  <c r="W21" i="4"/>
  <c r="X21" i="4"/>
  <c r="Y21" i="4"/>
  <c r="Z21" i="4"/>
  <c r="AE49" i="4" l="1"/>
  <c r="AE48" i="4" s="1"/>
  <c r="AE18" i="4" s="1"/>
  <c r="AI48" i="4"/>
  <c r="AI18" i="4" s="1"/>
  <c r="AF48" i="4"/>
  <c r="AF18" i="4" s="1"/>
  <c r="E59" i="10"/>
  <c r="E58" i="10"/>
  <c r="E56" i="10"/>
  <c r="E55" i="10"/>
  <c r="E54" i="10"/>
  <c r="E53" i="10"/>
  <c r="E52" i="10"/>
  <c r="E51" i="10"/>
  <c r="E50" i="10"/>
  <c r="R46" i="10"/>
  <c r="Q46" i="10"/>
  <c r="P46" i="10"/>
  <c r="O46" i="10"/>
  <c r="N46" i="10"/>
  <c r="M46" i="10"/>
  <c r="L46" i="10"/>
  <c r="K46" i="10"/>
  <c r="E46" i="10"/>
  <c r="V21" i="10"/>
  <c r="Q19" i="8" s="1"/>
  <c r="E21" i="10"/>
  <c r="E20" i="10"/>
  <c r="E19" i="10"/>
  <c r="P17" i="10"/>
  <c r="O17" i="10"/>
  <c r="M17" i="10"/>
  <c r="L17" i="10"/>
  <c r="K17" i="10"/>
  <c r="AH50" i="4" l="1"/>
  <c r="R17" i="10"/>
  <c r="R16" i="10" s="1"/>
  <c r="Q17" i="10"/>
  <c r="Q16" i="10" s="1"/>
  <c r="S17" i="10"/>
  <c r="S47" i="10"/>
  <c r="S46" i="10" s="1"/>
  <c r="V20" i="10"/>
  <c r="Q18" i="8" s="1"/>
  <c r="V19" i="10"/>
  <c r="AH49" i="4" l="1"/>
  <c r="AJ50" i="4"/>
  <c r="S16" i="10"/>
  <c r="AG48" i="4"/>
  <c r="AG18" i="4" s="1"/>
  <c r="AH48" i="4"/>
  <c r="AH18" i="4" s="1"/>
  <c r="T46" i="10"/>
  <c r="Q17" i="8"/>
  <c r="AJ18" i="4" l="1"/>
  <c r="AJ49" i="4"/>
  <c r="AJ48" i="4" s="1"/>
  <c r="V46" i="10"/>
  <c r="T17" i="10"/>
  <c r="T16" i="10" s="1"/>
  <c r="V22" i="10"/>
  <c r="V18" i="10" l="1"/>
  <c r="V17" i="10" s="1"/>
  <c r="V16" i="10" s="1"/>
  <c r="Q20" i="8"/>
  <c r="V19" i="4" l="1"/>
  <c r="W19" i="4"/>
  <c r="X19" i="4"/>
  <c r="Y19" i="4"/>
  <c r="Z19" i="4"/>
  <c r="V48" i="4"/>
  <c r="W48" i="4"/>
  <c r="X48" i="4"/>
  <c r="Y48" i="4"/>
  <c r="Z48" i="4"/>
  <c r="K16" i="4" l="1"/>
  <c r="L16" i="4" s="1"/>
  <c r="M16" i="4" s="1"/>
  <c r="N16" i="4" s="1"/>
  <c r="E16" i="4"/>
  <c r="F16" i="4" s="1"/>
  <c r="G16" i="4" s="1"/>
  <c r="H16" i="4" s="1"/>
  <c r="B17" i="4" l="1"/>
  <c r="C17" i="4" l="1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AI17" i="4" s="1"/>
  <c r="AJ17" i="4" s="1"/>
</calcChain>
</file>

<file path=xl/sharedStrings.xml><?xml version="1.0" encoding="utf-8"?>
<sst xmlns="http://schemas.openxmlformats.org/spreadsheetml/2006/main" count="522" uniqueCount="275">
  <si>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</si>
  <si>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</si>
  <si>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</si>
  <si>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</si>
  <si>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</si>
  <si>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</si>
  <si>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</si>
  <si>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</si>
  <si>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</si>
  <si>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</si>
  <si>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</si>
  <si>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</si>
  <si>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</si>
  <si>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</si>
  <si>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</si>
  <si>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</si>
  <si>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</si>
  <si>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</si>
  <si>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</si>
  <si>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</si>
  <si>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</si>
  <si>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</si>
  <si>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</si>
  <si>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</si>
  <si>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</si>
  <si>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</si>
  <si>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</si>
  <si>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</si>
  <si>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</si>
  <si>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</si>
  <si>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</si>
  <si>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</si>
  <si>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</si>
  <si>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</si>
  <si>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</si>
  <si>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</si>
  <si>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</si>
  <si>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</si>
  <si>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</si>
  <si>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</si>
  <si>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</si>
  <si>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</si>
  <si>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>2.1.2</t>
  </si>
  <si>
    <t>2.1.4</t>
  </si>
  <si>
    <t>2.1.5</t>
  </si>
  <si>
    <t>2.1.7</t>
  </si>
  <si>
    <t>2.1.8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</si>
  <si>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</si>
  <si>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</si>
  <si>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</si>
  <si>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</si>
  <si>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</si>
  <si>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</si>
  <si>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</si>
  <si>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</si>
  <si>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</si>
  <si>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</si>
  <si>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</si>
  <si>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</si>
  <si>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</si>
  <si>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</si>
  <si>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</si>
  <si>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</si>
  <si>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</si>
  <si>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</si>
  <si>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</si>
  <si>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</si>
  <si>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</si>
  <si>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</si>
  <si>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</si>
  <si>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</si>
  <si>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</si>
  <si>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</si>
  <si>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</si>
  <si>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</si>
  <si>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</si>
  <si>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</si>
  <si>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</si>
  <si>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</si>
  <si>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</si>
  <si>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</si>
  <si>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</si>
  <si>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</si>
  <si>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</si>
  <si>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</si>
  <si>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</si>
  <si>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</si>
  <si>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</si>
  <si>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</si>
  <si>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</si>
  <si>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</si>
  <si>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</si>
  <si>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</si>
  <si>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</si>
  <si>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</si>
  <si>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</si>
  <si>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</si>
  <si>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</si>
  <si>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</si>
  <si>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</si>
  <si>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</si>
  <si>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Стадия реализа-ции проекта</t>
  </si>
  <si>
    <t>Первоначальная стоимость вводимых основных средств (без НДС)**</t>
  </si>
  <si>
    <t>Акционерное общество "Братская электросетевая компания"</t>
  </si>
  <si>
    <t>Строительство ВЛ-35кВ, ПС 35/6 кВ "Порожская" в жилом районе Порожский города Братск</t>
  </si>
  <si>
    <t>Приложение № 2.2
к Приказу Минэнерго России
от 24.03.2010 № 114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</si>
  <si>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</si>
  <si>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</si>
  <si>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</si>
  <si>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</si>
  <si>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</si>
  <si>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</si>
  <si>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</si>
  <si>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</si>
  <si>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</si>
  <si>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</si>
  <si>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</si>
  <si>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</si>
  <si>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</si>
  <si>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</si>
  <si>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</si>
  <si>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</si>
  <si>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</si>
  <si>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</si>
  <si>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</si>
  <si>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</si>
  <si>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</si>
  <si>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</si>
  <si>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</si>
  <si>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</si>
  <si>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</si>
  <si>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</si>
  <si>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</si>
  <si>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</si>
  <si>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</si>
  <si>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</si>
  <si>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</si>
  <si>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</si>
  <si>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</si>
  <si>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</si>
  <si>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</si>
  <si>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</si>
  <si>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</si>
  <si>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</si>
  <si>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</si>
  <si>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</si>
  <si>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</si>
  <si>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</si>
  <si>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</si>
  <si>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</si>
  <si>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</si>
  <si>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</si>
  <si>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</si>
  <si>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</si>
  <si>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</si>
  <si>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</si>
  <si>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Усть-Кутский район</t>
  </si>
  <si>
    <t>Тайшетский район</t>
  </si>
  <si>
    <t xml:space="preserve"> Тайшетский район</t>
  </si>
  <si>
    <t>Строительство ЛЭП-10 кВ от поселка Тамтачет через поселок Полинчет до поселка Кондратьево в Тайшетском районе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</si>
  <si>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</si>
  <si>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</si>
  <si>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</si>
  <si>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1.1.7</t>
  </si>
  <si>
    <t>1.1.5</t>
  </si>
  <si>
    <t>Реконструкция ПС 35/10 кВ "Кургат" в п.Прибрежный Братского района</t>
  </si>
  <si>
    <t>1.5.2</t>
  </si>
  <si>
    <t>1.5.3</t>
  </si>
  <si>
    <t>Генеральный директор</t>
  </si>
  <si>
    <t>А.А. Катнов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</si>
  <si>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</si>
  <si>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8 МВА</t>
  </si>
  <si>
    <t>Иркутская область, п.Прибрежный Братского района</t>
  </si>
  <si>
    <t>Индификатор инвестиционного проекта</t>
  </si>
  <si>
    <t>К_2.1.13</t>
  </si>
  <si>
    <t>М_1.1-5</t>
  </si>
  <si>
    <t>М_2.1.4</t>
  </si>
  <si>
    <t>….</t>
  </si>
  <si>
    <t>1.1.8</t>
  </si>
  <si>
    <t>O_1.1-8</t>
  </si>
  <si>
    <t>32 МВА</t>
  </si>
  <si>
    <t>"____"_________________ 2024 г.</t>
  </si>
  <si>
    <t>"_____"_________________ 2024 г.</t>
  </si>
  <si>
    <t>Реконструкция ПС 35/6 кВ "ИОРТПЦ" в Ангарском ГО п.Мегет</t>
  </si>
  <si>
    <t>1.1.9</t>
  </si>
  <si>
    <t>O_1.1.1</t>
  </si>
  <si>
    <t>O_1.1.2</t>
  </si>
  <si>
    <t>O_1.1.3</t>
  </si>
  <si>
    <t>O_1.1.4</t>
  </si>
  <si>
    <t>O_1.1.6</t>
  </si>
  <si>
    <t>O_1.1.7</t>
  </si>
  <si>
    <t>O_1.1.9</t>
  </si>
  <si>
    <t>50 МВА</t>
  </si>
  <si>
    <t>план 
2025 года</t>
  </si>
  <si>
    <t>план 
2026 года</t>
  </si>
  <si>
    <t>план 
2027 года</t>
  </si>
  <si>
    <t>план 
2028 года</t>
  </si>
  <si>
    <t>план 
2029 года</t>
  </si>
  <si>
    <t>Перечень инвестиционных проектов на период реализации инвестиционной программы на 2025 - 2029 годы и план их финансирования</t>
  </si>
  <si>
    <t>O_1.5.1</t>
  </si>
  <si>
    <t>O_1.5.2</t>
  </si>
  <si>
    <t>O_1.5.3</t>
  </si>
  <si>
    <t>O_2.1.1</t>
  </si>
  <si>
    <t>O_2.1.5</t>
  </si>
  <si>
    <t>O_2.1.7</t>
  </si>
  <si>
    <t>O_2.1.8</t>
  </si>
  <si>
    <t>O_2.1.9</t>
  </si>
  <si>
    <t>O_2.1.10</t>
  </si>
  <si>
    <t>O_2.1.11</t>
  </si>
  <si>
    <t>O_2.1.12</t>
  </si>
  <si>
    <t>12,6 МВА
2-х цепная ВЛ-35кВ 
0,4 км</t>
  </si>
  <si>
    <t>O_2.1.16</t>
  </si>
  <si>
    <t>O_2.1.18</t>
  </si>
  <si>
    <t>2.1.6</t>
  </si>
  <si>
    <t>план 2025 года</t>
  </si>
  <si>
    <t>Прогноз ввода/вывода объектов инвестиционной программы 2025 - 2029 гг.</t>
  </si>
  <si>
    <t>План 2026 года</t>
  </si>
  <si>
    <t>План 2027 года</t>
  </si>
  <si>
    <t>План 2028 года</t>
  </si>
  <si>
    <t>План 2029 года</t>
  </si>
  <si>
    <t>АГО
 п.Мегет</t>
  </si>
  <si>
    <t>г.Вихоревка, Братский район</t>
  </si>
  <si>
    <t>5,04 МВА 
5,4 км</t>
  </si>
  <si>
    <t>25,2 МВА 
27 км</t>
  </si>
  <si>
    <t>0,8 МВА 
3,4 км</t>
  </si>
  <si>
    <t>4 МВА 
17 км</t>
  </si>
  <si>
    <t>0,4 МВА 
1,7 км</t>
  </si>
  <si>
    <t>2 МВА 
8,5 км</t>
  </si>
  <si>
    <t>0,4 МВА 
2,2 км</t>
  </si>
  <si>
    <t>2 МВА 
11 км</t>
  </si>
  <si>
    <t>0,4 МВА 
0,2 км</t>
  </si>
  <si>
    <t>2 МВА 
1 км</t>
  </si>
  <si>
    <t>40 МВА</t>
  </si>
  <si>
    <t>Краткое описание инвестиционной программы 2025 - 2029 гг.</t>
  </si>
  <si>
    <t>0,4 МВА
1,7 км</t>
  </si>
  <si>
    <t>0,4 МВА
11,1 км</t>
  </si>
  <si>
    <t>1,2 МВА 
6,6 км</t>
  </si>
  <si>
    <t>8,4 МВА 
46,2 км</t>
  </si>
  <si>
    <t>3,2 МВА 
13,6 км</t>
  </si>
  <si>
    <t>1,26 МВА 
6,36 км</t>
  </si>
  <si>
    <t>1,26 МВА 
3 км</t>
  </si>
  <si>
    <t>6,3 МВА 
18,4 км</t>
  </si>
  <si>
    <t>15,04 МВА 
12,9 км</t>
  </si>
  <si>
    <t>47,4 МВА 
12,9 км</t>
  </si>
  <si>
    <t>19,46 МВА 
30,1 км</t>
  </si>
  <si>
    <t>7,04 МВА  
12,9 км</t>
  </si>
  <si>
    <t>26,5 МВА  
43 км</t>
  </si>
  <si>
    <t>6,86 МВА 
29,3 км</t>
  </si>
  <si>
    <t>7,04 МВА 
12,9 км</t>
  </si>
  <si>
    <t>13,9 МВА 
42,2 км</t>
  </si>
  <si>
    <t>89,04 МВА 
12,9 км</t>
  </si>
  <si>
    <t>2 МВА
24,6 км</t>
  </si>
  <si>
    <t>6,86 МВА 
35,99 км</t>
  </si>
  <si>
    <t>95,9 МВА
48,9 км</t>
  </si>
  <si>
    <t>165,2 МВА 
64,5 км</t>
  </si>
  <si>
    <t>165,2 МВА
64,5 км</t>
  </si>
  <si>
    <t>0,4 МВА
8,4 км</t>
  </si>
  <si>
    <t>0,4 км</t>
  </si>
  <si>
    <t>5,26 МВА  
21,9 км</t>
  </si>
  <si>
    <t>52,3 МВА 
34,8 км</t>
  </si>
  <si>
    <t>Строительство распределительных сетей 10-0,4кВ в г.Тайшете и Тайшетском районе, г.Нижнеудинске.</t>
  </si>
  <si>
    <t>Возврат заемных средств</t>
  </si>
  <si>
    <t>13 км</t>
  </si>
  <si>
    <t>13,4 км</t>
  </si>
  <si>
    <t>5,26 МВА  
47,25 км</t>
  </si>
  <si>
    <t>43,7 МВА 
164,5км</t>
  </si>
  <si>
    <t>33,65 км</t>
  </si>
  <si>
    <t>43,7 МВА 
184,9 км</t>
  </si>
  <si>
    <t>20,3 МВА
60,15 км</t>
  </si>
  <si>
    <t>208,9 МВА  
229 км</t>
  </si>
  <si>
    <t>208,9 МВА 
249,4 км</t>
  </si>
  <si>
    <t xml:space="preserve">Замена существующего силового трансформатора напряжением 110/10 кВ мощностью 40 МВА на ПС 110/10 кВ Солнечная на новый силовой трансформатор (без увеличения мощности). Иркутская область, город Вихоревка. </t>
  </si>
  <si>
    <t>Реконструкция и строительство производственных баз АО "БЭСК"</t>
  </si>
  <si>
    <t>Програмное обеспечение и орг.техника</t>
  </si>
  <si>
    <t xml:space="preserve">Реконструкция ПС 35/6 кВ "Боково" с заменой силовых трансформаторов на трансформаторы большей мощности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</si>
</sst>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0.0000000"/>
    <numFmt numFmtId="172" formatCode="0.0"/>
    <numFmt numFmtId="173" formatCode="#,##0.000_ ;\-#,##0.000\ 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5" fillId="0" borderId="0"/>
    <xf numFmtId="165" fontId="19" fillId="0" borderId="0" applyFont="0" applyFill="0" applyBorder="0" applyAlignment="0" applyProtection="0"/>
    <xf numFmtId="0" fontId="19" fillId="0" borderId="0"/>
    <xf numFmtId="0" fontId="20" fillId="0" borderId="0"/>
    <xf numFmtId="164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5" fillId="0" borderId="0"/>
  </cellStyleXfs>
  <cellXfs count="171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167" fontId="7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9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7" fontId="7" fillId="0" borderId="9" xfId="0" applyNumberFormat="1" applyFont="1" applyBorder="1" applyAlignment="1">
      <alignment horizontal="center" vertical="center"/>
    </xf>
    <xf numFmtId="167" fontId="7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6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6" fillId="0" borderId="3" xfId="0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 wrapText="1"/>
    </xf>
    <xf numFmtId="168" fontId="16" fillId="0" borderId="3" xfId="0" applyNumberFormat="1" applyFont="1" applyBorder="1" applyAlignment="1">
      <alignment horizontal="center" vertical="center" wrapText="1"/>
    </xf>
    <xf numFmtId="0" fontId="23" fillId="0" borderId="0" xfId="0" applyFont="1"/>
    <xf numFmtId="167" fontId="14" fillId="0" borderId="0" xfId="0" applyNumberFormat="1" applyFont="1"/>
    <xf numFmtId="0" fontId="7" fillId="0" borderId="6" xfId="0" applyFont="1" applyBorder="1" applyAlignment="1">
      <alignment horizontal="center" vertical="center" wrapText="1"/>
    </xf>
    <xf numFmtId="171" fontId="24" fillId="0" borderId="0" xfId="0" applyNumberFormat="1" applyFont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6" fillId="0" borderId="3" xfId="0" applyNumberFormat="1" applyFont="1" applyBorder="1" applyAlignment="1">
      <alignment horizontal="left" vertical="center" wrapText="1"/>
    </xf>
    <xf numFmtId="167" fontId="16" fillId="0" borderId="9" xfId="0" applyNumberFormat="1" applyFont="1" applyBorder="1" applyAlignment="1">
      <alignment horizontal="center" vertical="center" wrapText="1"/>
    </xf>
    <xf numFmtId="0" fontId="23" fillId="2" borderId="0" xfId="0" applyFont="1" applyFill="1"/>
    <xf numFmtId="167" fontId="26" fillId="0" borderId="3" xfId="0" applyNumberFormat="1" applyFont="1" applyBorder="1" applyAlignment="1">
      <alignment horizontal="center" vertical="center" wrapText="1"/>
    </xf>
    <xf numFmtId="0" fontId="27" fillId="0" borderId="0" xfId="0" applyFont="1"/>
    <xf numFmtId="168" fontId="7" fillId="0" borderId="3" xfId="0" applyNumberFormat="1" applyFont="1" applyBorder="1" applyAlignment="1">
      <alignment horizontal="center" vertical="center" wrapText="1"/>
    </xf>
    <xf numFmtId="167" fontId="2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6" fillId="0" borderId="3" xfId="3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172" fontId="31" fillId="0" borderId="0" xfId="0" applyNumberFormat="1" applyFont="1" applyAlignment="1">
      <alignment horizontal="center" vertical="center"/>
    </xf>
    <xf numFmtId="168" fontId="31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72" fontId="3" fillId="0" borderId="0" xfId="0" applyNumberFormat="1" applyFont="1"/>
    <xf numFmtId="2" fontId="1" fillId="0" borderId="0" xfId="0" applyNumberFormat="1" applyFont="1"/>
    <xf numFmtId="49" fontId="6" fillId="0" borderId="14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 wrapText="1"/>
    </xf>
    <xf numFmtId="167" fontId="6" fillId="0" borderId="15" xfId="0" applyNumberFormat="1" applyFont="1" applyBorder="1" applyAlignment="1">
      <alignment horizontal="center" vertical="center" wrapText="1"/>
    </xf>
    <xf numFmtId="167" fontId="7" fillId="0" borderId="15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 wrapText="1"/>
    </xf>
    <xf numFmtId="167" fontId="6" fillId="0" borderId="18" xfId="0" applyNumberFormat="1" applyFont="1" applyBorder="1" applyAlignment="1">
      <alignment horizontal="center" vertical="center" wrapText="1"/>
    </xf>
    <xf numFmtId="167" fontId="1" fillId="0" borderId="0" xfId="0" applyNumberFormat="1" applyFont="1"/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/>
    <xf numFmtId="167" fontId="7" fillId="0" borderId="15" xfId="0" applyNumberFormat="1" applyFont="1" applyBorder="1" applyAlignment="1">
      <alignment horizontal="center" vertical="center"/>
    </xf>
    <xf numFmtId="170" fontId="6" fillId="0" borderId="3" xfId="0" applyNumberFormat="1" applyFont="1" applyBorder="1"/>
    <xf numFmtId="0" fontId="25" fillId="0" borderId="3" xfId="7" applyFont="1" applyBorder="1" applyAlignment="1">
      <alignment horizontal="center" vertical="center"/>
    </xf>
    <xf numFmtId="167" fontId="6" fillId="0" borderId="15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7" fontId="21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173" fontId="6" fillId="0" borderId="3" xfId="5" applyNumberFormat="1" applyFont="1" applyFill="1" applyBorder="1" applyAlignment="1">
      <alignment horizontal="center" vertical="center"/>
    </xf>
    <xf numFmtId="173" fontId="6" fillId="0" borderId="9" xfId="5" applyNumberFormat="1" applyFont="1" applyFill="1" applyBorder="1" applyAlignment="1">
      <alignment horizontal="center" vertical="center"/>
    </xf>
    <xf numFmtId="167" fontId="6" fillId="0" borderId="3" xfId="5" applyNumberFormat="1" applyFont="1" applyFill="1" applyBorder="1" applyAlignment="1">
      <alignment horizontal="center" vertical="center"/>
    </xf>
    <xf numFmtId="167" fontId="6" fillId="0" borderId="9" xfId="5" applyNumberFormat="1" applyFont="1" applyFill="1" applyBorder="1" applyAlignment="1">
      <alignment horizontal="center" vertical="center"/>
    </xf>
    <xf numFmtId="172" fontId="1" fillId="0" borderId="0" xfId="0" applyNumberFormat="1" applyFont="1"/>
    <xf numFmtId="0" fontId="5" fillId="0" borderId="0" xfId="0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2" fontId="6" fillId="0" borderId="3" xfId="3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3" applyFont="1" applyBorder="1" applyAlignment="1">
      <alignment horizontal="left" vertical="center" wrapText="1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</cellXfs>
  <cellStyles count="8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7" xfId="7" xr:uid="{00000000-0005-0000-0000-000005000000}"/>
    <cellStyle name="Финансовый 2" xfId="5" xr:uid="{00000000-0005-0000-0000-000006000000}"/>
    <cellStyle name="Финансовый 3" xfId="6" xr:uid="{00000000-0005-0000-0000-000007000000}"/>
  </cellStyles>
  <dxfs count="0"/>
  <tableStyles count="0" defaultTableStyle="TableStyleMedium9" defaultPivotStyle="PivotStyleLight16"/>
  <colors>
    <mruColors>
      <color rgb="FFDBEEF3"/>
      <color rgb="FF99FF66"/>
      <color rgb="FF99FFCC"/>
      <color rgb="FFFF66FF"/>
      <color rgb="FFB2A1C7"/>
      <color rgb="FF66FFFF"/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76"/>
  <sheetViews>
    <sheetView tabSelected="1" topLeftCell="A16" zoomScale="55" zoomScaleNormal="55" zoomScaleSheetLayoutView="55" zoomScalePageLayoutView="55" workbookViewId="0">
      <selection activeCell="G21" sqref="G21"/>
    </sheetView>
  </sheetViews>
  <sheetFormatPr defaultColWidth="8.85546875" defaultRowHeight="18.75" outlineLevelRow="1" outlineLevelCol="2" x14ac:dyDescent="0.25"/>
  <cols>
    <col min="1" max="1" width="19" style="35" customWidth="1"/>
    <col min="2" max="2" width="99.28515625" style="4" customWidth="1"/>
    <col min="3" max="3" width="22.140625" style="4" customWidth="1"/>
    <col min="4" max="4" width="12" style="4" customWidth="1" outlineLevel="2"/>
    <col min="5" max="5" width="16" style="4" customWidth="1" outlineLevel="2"/>
    <col min="6" max="6" width="15.28515625" style="4" customWidth="1" outlineLevel="2"/>
    <col min="7" max="7" width="14.85546875" style="4" customWidth="1" outlineLevel="2"/>
    <col min="8" max="8" width="14.7109375" style="4" customWidth="1" outlineLevel="2"/>
    <col min="9" max="9" width="14.42578125" style="4" customWidth="1" outlineLevel="2"/>
    <col min="10" max="10" width="12.5703125" style="4" customWidth="1" outlineLevel="2"/>
    <col min="11" max="11" width="14.7109375" style="4" customWidth="1" outlineLevel="2" collapsed="1"/>
    <col min="12" max="13" width="14.7109375" style="4" customWidth="1" outlineLevel="2"/>
    <col min="14" max="14" width="16.5703125" style="4" customWidth="1" outlineLevel="1"/>
    <col min="15" max="15" width="15.85546875" style="4" customWidth="1"/>
    <col min="16" max="16" width="16.7109375" style="4" customWidth="1"/>
    <col min="17" max="19" width="15.7109375" style="4" customWidth="1" outlineLevel="2"/>
    <col min="20" max="20" width="15.7109375" style="4" customWidth="1" outlineLevel="1"/>
    <col min="21" max="22" width="15.7109375" style="4" customWidth="1"/>
    <col min="23" max="23" width="8.85546875" style="82"/>
    <col min="24" max="24" width="12.140625" style="88" customWidth="1"/>
    <col min="25" max="25" width="12.42578125" style="88" customWidth="1"/>
    <col min="26" max="26" width="13" style="88" customWidth="1"/>
    <col min="27" max="27" width="14.85546875" style="88" customWidth="1"/>
    <col min="28" max="34" width="8.85546875" style="88"/>
  </cols>
  <sheetData>
    <row r="1" spans="1:32" ht="49.5" customHeight="1" outlineLevel="1" x14ac:dyDescent="0.25">
      <c r="P1" s="19"/>
      <c r="Q1" s="19"/>
      <c r="S1" s="20"/>
      <c r="T1" s="139" t="s">
        <v>11</v>
      </c>
      <c r="U1" s="139"/>
      <c r="V1" s="139"/>
    </row>
    <row r="2" spans="1:32" outlineLevel="1" x14ac:dyDescent="0.3">
      <c r="P2" s="19"/>
      <c r="Q2" s="19"/>
      <c r="S2" s="21"/>
      <c r="T2" s="140" t="s">
        <v>12</v>
      </c>
      <c r="U2" s="140"/>
      <c r="V2" s="140"/>
    </row>
    <row r="3" spans="1:32" outlineLevel="1" x14ac:dyDescent="0.3">
      <c r="P3" s="19"/>
      <c r="Q3" s="19"/>
      <c r="S3" s="21"/>
      <c r="T3" s="140" t="s">
        <v>168</v>
      </c>
      <c r="U3" s="140"/>
      <c r="V3" s="140"/>
    </row>
    <row r="4" spans="1:32" ht="18.75" customHeight="1" outlineLevel="1" x14ac:dyDescent="0.25">
      <c r="P4" s="19"/>
      <c r="Q4" s="19"/>
      <c r="S4" s="22"/>
      <c r="T4" s="141" t="s">
        <v>88</v>
      </c>
      <c r="U4" s="141"/>
      <c r="V4" s="141"/>
    </row>
    <row r="5" spans="1:32" outlineLevel="1" x14ac:dyDescent="0.25">
      <c r="P5" s="19"/>
      <c r="Q5" s="19"/>
      <c r="S5" s="23"/>
      <c r="T5" s="142" t="s">
        <v>169</v>
      </c>
      <c r="U5" s="142"/>
      <c r="V5" s="142"/>
    </row>
    <row r="6" spans="1:32" outlineLevel="1" x14ac:dyDescent="0.3">
      <c r="P6" s="24"/>
      <c r="Q6" s="24"/>
      <c r="R6" s="15"/>
      <c r="S6" s="15"/>
      <c r="T6" s="146"/>
      <c r="U6" s="146"/>
      <c r="V6" s="146"/>
    </row>
    <row r="7" spans="1:32" outlineLevel="1" x14ac:dyDescent="0.25">
      <c r="P7" s="24"/>
      <c r="Q7" s="24"/>
      <c r="S7" s="25"/>
      <c r="T7" s="150" t="s">
        <v>13</v>
      </c>
      <c r="U7" s="150"/>
      <c r="V7" s="150"/>
    </row>
    <row r="8" spans="1:32" ht="18" customHeight="1" outlineLevel="1" x14ac:dyDescent="0.3">
      <c r="P8" s="151" t="s">
        <v>181</v>
      </c>
      <c r="Q8" s="151"/>
      <c r="R8" s="151"/>
      <c r="S8" s="151"/>
      <c r="T8" s="151"/>
      <c r="U8" s="151"/>
      <c r="V8" s="151"/>
    </row>
    <row r="9" spans="1:32" outlineLevel="1" x14ac:dyDescent="0.3">
      <c r="P9" s="24"/>
      <c r="Q9" s="24"/>
      <c r="R9" s="15"/>
      <c r="S9" s="15"/>
      <c r="T9" s="15"/>
      <c r="U9" s="15"/>
      <c r="V9" s="26" t="s">
        <v>14</v>
      </c>
    </row>
    <row r="10" spans="1:32" ht="22.5" x14ac:dyDescent="0.25">
      <c r="A10" s="152" t="s">
        <v>103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72"/>
    </row>
    <row r="11" spans="1:32" ht="22.5" x14ac:dyDescent="0.25">
      <c r="A11" s="152" t="s">
        <v>198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72"/>
    </row>
    <row r="12" spans="1:32" ht="19.5" thickBot="1" x14ac:dyDescent="0.3"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70"/>
      <c r="U12" s="79"/>
      <c r="V12" s="16"/>
    </row>
    <row r="13" spans="1:32" ht="49.5" customHeight="1" x14ac:dyDescent="0.25">
      <c r="A13" s="153" t="s">
        <v>0</v>
      </c>
      <c r="B13" s="143" t="s">
        <v>1</v>
      </c>
      <c r="C13" s="143" t="s">
        <v>173</v>
      </c>
      <c r="D13" s="143" t="s">
        <v>101</v>
      </c>
      <c r="E13" s="143" t="s">
        <v>96</v>
      </c>
      <c r="F13" s="143" t="s">
        <v>94</v>
      </c>
      <c r="G13" s="143" t="s">
        <v>95</v>
      </c>
      <c r="H13" s="143" t="s">
        <v>97</v>
      </c>
      <c r="I13" s="143" t="s">
        <v>92</v>
      </c>
      <c r="J13" s="143" t="s">
        <v>93</v>
      </c>
      <c r="K13" s="143" t="s">
        <v>4</v>
      </c>
      <c r="L13" s="143"/>
      <c r="M13" s="143"/>
      <c r="N13" s="143"/>
      <c r="O13" s="143"/>
      <c r="P13" s="143"/>
      <c r="Q13" s="143" t="s">
        <v>6</v>
      </c>
      <c r="R13" s="143"/>
      <c r="S13" s="143"/>
      <c r="T13" s="143"/>
      <c r="U13" s="143"/>
      <c r="V13" s="145"/>
      <c r="AA13" s="142"/>
      <c r="AB13" s="142"/>
    </row>
    <row r="14" spans="1:32" ht="57" customHeight="1" x14ac:dyDescent="0.25">
      <c r="A14" s="154"/>
      <c r="B14" s="144"/>
      <c r="C14" s="144"/>
      <c r="D14" s="144"/>
      <c r="E14" s="144"/>
      <c r="F14" s="144"/>
      <c r="G14" s="144"/>
      <c r="H14" s="144"/>
      <c r="I14" s="144"/>
      <c r="J14" s="144"/>
      <c r="K14" s="34" t="s">
        <v>193</v>
      </c>
      <c r="L14" s="34" t="s">
        <v>194</v>
      </c>
      <c r="M14" s="34" t="s">
        <v>195</v>
      </c>
      <c r="N14" s="34" t="s">
        <v>196</v>
      </c>
      <c r="O14" s="34" t="s">
        <v>197</v>
      </c>
      <c r="P14" s="34" t="s">
        <v>5</v>
      </c>
      <c r="Q14" s="34" t="s">
        <v>193</v>
      </c>
      <c r="R14" s="34" t="s">
        <v>194</v>
      </c>
      <c r="S14" s="34" t="s">
        <v>195</v>
      </c>
      <c r="T14" s="34" t="s">
        <v>196</v>
      </c>
      <c r="U14" s="34" t="s">
        <v>197</v>
      </c>
      <c r="V14" s="108" t="s">
        <v>5</v>
      </c>
      <c r="W14" s="147"/>
      <c r="X14" s="147"/>
      <c r="Y14" s="147"/>
      <c r="Z14" s="147"/>
      <c r="AA14" s="87"/>
      <c r="AB14" s="87"/>
    </row>
    <row r="15" spans="1:32" ht="49.5" customHeight="1" x14ac:dyDescent="0.25">
      <c r="A15" s="109"/>
      <c r="B15" s="110"/>
      <c r="C15" s="110"/>
      <c r="D15" s="36" t="s">
        <v>2</v>
      </c>
      <c r="E15" s="34" t="s">
        <v>91</v>
      </c>
      <c r="F15" s="34"/>
      <c r="G15" s="34"/>
      <c r="H15" s="34" t="s">
        <v>3</v>
      </c>
      <c r="I15" s="34" t="s">
        <v>3</v>
      </c>
      <c r="J15" s="34" t="s">
        <v>3</v>
      </c>
      <c r="K15" s="34" t="s">
        <v>91</v>
      </c>
      <c r="L15" s="34" t="s">
        <v>91</v>
      </c>
      <c r="M15" s="34" t="s">
        <v>91</v>
      </c>
      <c r="N15" s="34" t="s">
        <v>91</v>
      </c>
      <c r="O15" s="34" t="s">
        <v>91</v>
      </c>
      <c r="P15" s="34" t="s">
        <v>91</v>
      </c>
      <c r="Q15" s="34" t="s">
        <v>3</v>
      </c>
      <c r="R15" s="34" t="s">
        <v>3</v>
      </c>
      <c r="S15" s="34" t="s">
        <v>3</v>
      </c>
      <c r="T15" s="34" t="s">
        <v>3</v>
      </c>
      <c r="U15" s="34" t="s">
        <v>3</v>
      </c>
      <c r="V15" s="108" t="s">
        <v>3</v>
      </c>
      <c r="W15" s="84"/>
      <c r="X15" s="84"/>
      <c r="Y15" s="84"/>
      <c r="Z15" s="84"/>
      <c r="AA15" s="84"/>
      <c r="AB15" s="84"/>
    </row>
    <row r="16" spans="1:32" ht="57.75" customHeight="1" x14ac:dyDescent="0.3">
      <c r="A16" s="111"/>
      <c r="B16" s="36" t="s">
        <v>7</v>
      </c>
      <c r="C16" s="36"/>
      <c r="D16" s="112"/>
      <c r="E16" s="34" t="s">
        <v>270</v>
      </c>
      <c r="F16" s="112"/>
      <c r="G16" s="112"/>
      <c r="H16" s="17"/>
      <c r="I16" s="17"/>
      <c r="J16" s="17"/>
      <c r="K16" s="27" t="s">
        <v>268</v>
      </c>
      <c r="L16" s="27" t="s">
        <v>259</v>
      </c>
      <c r="M16" s="27" t="s">
        <v>246</v>
      </c>
      <c r="N16" s="27" t="s">
        <v>249</v>
      </c>
      <c r="O16" s="27" t="s">
        <v>253</v>
      </c>
      <c r="P16" s="27" t="s">
        <v>269</v>
      </c>
      <c r="Q16" s="17">
        <f>Q17+Q46+Q67</f>
        <v>636.9653916876</v>
      </c>
      <c r="R16" s="17">
        <f t="shared" ref="R16:U16" si="0">R17+R46+R67</f>
        <v>649.29272139348802</v>
      </c>
      <c r="S16" s="17">
        <f t="shared" si="0"/>
        <v>677.10136180375764</v>
      </c>
      <c r="T16" s="17">
        <f t="shared" si="0"/>
        <v>706.0421032769267</v>
      </c>
      <c r="U16" s="17">
        <f t="shared" si="0"/>
        <v>749.92094680968114</v>
      </c>
      <c r="V16" s="113">
        <f>V17+V46+V67</f>
        <v>3419.3225249714537</v>
      </c>
      <c r="W16" s="84"/>
      <c r="X16" s="84"/>
      <c r="Y16" s="93"/>
      <c r="Z16" s="91"/>
      <c r="AA16" s="93"/>
      <c r="AB16" s="84"/>
      <c r="AD16" s="94"/>
      <c r="AF16" s="95"/>
    </row>
    <row r="17" spans="1:34" ht="75" customHeight="1" x14ac:dyDescent="0.3">
      <c r="A17" s="111">
        <v>1</v>
      </c>
      <c r="B17" s="34" t="s">
        <v>8</v>
      </c>
      <c r="C17" s="34"/>
      <c r="D17" s="112"/>
      <c r="E17" s="34" t="str">
        <f>E18</f>
        <v>165,2 МВА
64,5 км</v>
      </c>
      <c r="F17" s="112"/>
      <c r="G17" s="112"/>
      <c r="H17" s="17"/>
      <c r="I17" s="17"/>
      <c r="J17" s="17"/>
      <c r="K17" s="34" t="str">
        <f t="shared" ref="K17:O17" si="1">K18</f>
        <v>15,04 МВА 
12,9 км</v>
      </c>
      <c r="L17" s="34" t="str">
        <f t="shared" si="1"/>
        <v>47,4 МВА 
12,9 км</v>
      </c>
      <c r="M17" s="34" t="str">
        <f>M18</f>
        <v>7,04 МВА  
12,9 км</v>
      </c>
      <c r="N17" s="34" t="str">
        <f>N18</f>
        <v>7,04 МВА 
12,9 км</v>
      </c>
      <c r="O17" s="34" t="str">
        <f t="shared" si="1"/>
        <v>89,04 МВА 
12,9 км</v>
      </c>
      <c r="P17" s="34" t="str">
        <f>P18</f>
        <v>165,2 МВА 
64,5 км</v>
      </c>
      <c r="Q17" s="17">
        <f t="shared" ref="Q17:V17" si="2">Q18+Q41</f>
        <v>270.01452162999999</v>
      </c>
      <c r="R17" s="17">
        <f t="shared" si="2"/>
        <v>277.55166856599999</v>
      </c>
      <c r="S17" s="17">
        <f t="shared" si="2"/>
        <v>233.61288315626268</v>
      </c>
      <c r="T17" s="17">
        <f t="shared" si="2"/>
        <v>535.2188889535546</v>
      </c>
      <c r="U17" s="17">
        <f t="shared" si="2"/>
        <v>495.83575340472737</v>
      </c>
      <c r="V17" s="113">
        <f t="shared" si="2"/>
        <v>1812.2337157105446</v>
      </c>
      <c r="W17" s="84"/>
      <c r="X17" s="84"/>
      <c r="Y17" s="84"/>
      <c r="Z17" s="84"/>
    </row>
    <row r="18" spans="1:34" ht="85.9" customHeight="1" x14ac:dyDescent="0.3">
      <c r="A18" s="98" t="s">
        <v>10</v>
      </c>
      <c r="B18" s="34" t="s">
        <v>9</v>
      </c>
      <c r="C18" s="34"/>
      <c r="D18" s="112"/>
      <c r="E18" s="34" t="s">
        <v>255</v>
      </c>
      <c r="F18" s="114"/>
      <c r="G18" s="112"/>
      <c r="H18" s="17"/>
      <c r="I18" s="17"/>
      <c r="J18" s="17"/>
      <c r="K18" s="34" t="s">
        <v>242</v>
      </c>
      <c r="L18" s="34" t="s">
        <v>243</v>
      </c>
      <c r="M18" s="34" t="s">
        <v>245</v>
      </c>
      <c r="N18" s="34" t="s">
        <v>248</v>
      </c>
      <c r="O18" s="34" t="s">
        <v>250</v>
      </c>
      <c r="P18" s="34" t="s">
        <v>254</v>
      </c>
      <c r="Q18" s="17">
        <f>SUM(Q19:Q28)</f>
        <v>174.27899026</v>
      </c>
      <c r="R18" s="17">
        <f t="shared" ref="R18:V18" si="3">SUM(R19:R28)</f>
        <v>184.468531918</v>
      </c>
      <c r="S18" s="17">
        <f t="shared" si="3"/>
        <v>144.50353318191603</v>
      </c>
      <c r="T18" s="17">
        <f t="shared" si="3"/>
        <v>446.28134367301914</v>
      </c>
      <c r="U18" s="17">
        <f t="shared" si="3"/>
        <v>403.65323517339368</v>
      </c>
      <c r="V18" s="113">
        <f t="shared" si="3"/>
        <v>1353.1856342063288</v>
      </c>
      <c r="W18" s="84"/>
      <c r="X18" s="85"/>
      <c r="Y18" s="91"/>
      <c r="Z18" s="85"/>
      <c r="AA18" s="91"/>
      <c r="AB18" s="85"/>
    </row>
    <row r="19" spans="1:34" ht="88.5" customHeight="1" x14ac:dyDescent="0.25">
      <c r="A19" s="98" t="s">
        <v>15</v>
      </c>
      <c r="B19" s="9" t="s">
        <v>89</v>
      </c>
      <c r="C19" s="115" t="s">
        <v>185</v>
      </c>
      <c r="D19" s="8" t="s">
        <v>16</v>
      </c>
      <c r="E19" s="8" t="str">
        <f>P19</f>
        <v>25,2 МВА 
27 км</v>
      </c>
      <c r="F19" s="13">
        <v>2025</v>
      </c>
      <c r="G19" s="13">
        <v>2029</v>
      </c>
      <c r="H19" s="7"/>
      <c r="I19" s="7"/>
      <c r="J19" s="7"/>
      <c r="K19" s="8" t="s">
        <v>222</v>
      </c>
      <c r="L19" s="8" t="s">
        <v>222</v>
      </c>
      <c r="M19" s="8" t="s">
        <v>222</v>
      </c>
      <c r="N19" s="8" t="s">
        <v>222</v>
      </c>
      <c r="O19" s="8" t="s">
        <v>222</v>
      </c>
      <c r="P19" s="8" t="s">
        <v>223</v>
      </c>
      <c r="Q19" s="6">
        <f>27.887656*2</f>
        <v>55.775312</v>
      </c>
      <c r="R19" s="6">
        <f>Q19*1.042</f>
        <v>58.117875103999999</v>
      </c>
      <c r="S19" s="6">
        <f t="shared" ref="S19:U19" si="4">R19*1.042</f>
        <v>60.558825858368003</v>
      </c>
      <c r="T19" s="6">
        <f t="shared" si="4"/>
        <v>63.10229654441946</v>
      </c>
      <c r="U19" s="6">
        <f t="shared" si="4"/>
        <v>65.752592999285085</v>
      </c>
      <c r="V19" s="116">
        <f t="shared" ref="V19:V27" si="5">Q19+R19+S19+T19+U19</f>
        <v>303.30690250607256</v>
      </c>
    </row>
    <row r="20" spans="1:34" ht="88.5" customHeight="1" x14ac:dyDescent="0.25">
      <c r="A20" s="98" t="s">
        <v>18</v>
      </c>
      <c r="B20" s="9" t="s">
        <v>17</v>
      </c>
      <c r="C20" s="115" t="s">
        <v>186</v>
      </c>
      <c r="D20" s="8" t="s">
        <v>16</v>
      </c>
      <c r="E20" s="8" t="str">
        <f t="shared" ref="E20:E21" si="6">P20</f>
        <v>4 МВА 
17 км</v>
      </c>
      <c r="F20" s="13">
        <v>2025</v>
      </c>
      <c r="G20" s="13">
        <v>2029</v>
      </c>
      <c r="H20" s="7"/>
      <c r="I20" s="7"/>
      <c r="J20" s="7"/>
      <c r="K20" s="8" t="s">
        <v>224</v>
      </c>
      <c r="L20" s="8" t="s">
        <v>224</v>
      </c>
      <c r="M20" s="8" t="s">
        <v>224</v>
      </c>
      <c r="N20" s="8" t="s">
        <v>224</v>
      </c>
      <c r="O20" s="8" t="s">
        <v>224</v>
      </c>
      <c r="P20" s="8" t="s">
        <v>225</v>
      </c>
      <c r="Q20" s="6">
        <f>7.1886618*2</f>
        <v>14.3773236</v>
      </c>
      <c r="R20" s="6">
        <f>Q20*1.042</f>
        <v>14.981171191200001</v>
      </c>
      <c r="S20" s="6">
        <f t="shared" ref="S20:U20" si="7">R20*1.042</f>
        <v>15.610380381230401</v>
      </c>
      <c r="T20" s="6">
        <f t="shared" si="7"/>
        <v>16.26601635724208</v>
      </c>
      <c r="U20" s="6">
        <f t="shared" si="7"/>
        <v>16.949189044246246</v>
      </c>
      <c r="V20" s="116">
        <f t="shared" si="5"/>
        <v>78.18408057391872</v>
      </c>
    </row>
    <row r="21" spans="1:34" ht="88.5" customHeight="1" x14ac:dyDescent="0.25">
      <c r="A21" s="98" t="s">
        <v>20</v>
      </c>
      <c r="B21" s="9" t="s">
        <v>19</v>
      </c>
      <c r="C21" s="115" t="s">
        <v>187</v>
      </c>
      <c r="D21" s="8" t="s">
        <v>16</v>
      </c>
      <c r="E21" s="8" t="str">
        <f t="shared" si="6"/>
        <v>2 МВА 
8,5 км</v>
      </c>
      <c r="F21" s="13">
        <v>2025</v>
      </c>
      <c r="G21" s="13">
        <v>2029</v>
      </c>
      <c r="H21" s="7"/>
      <c r="I21" s="7"/>
      <c r="J21" s="117"/>
      <c r="K21" s="8" t="s">
        <v>226</v>
      </c>
      <c r="L21" s="8" t="s">
        <v>226</v>
      </c>
      <c r="M21" s="8" t="s">
        <v>226</v>
      </c>
      <c r="N21" s="8" t="s">
        <v>226</v>
      </c>
      <c r="O21" s="8" t="s">
        <v>226</v>
      </c>
      <c r="P21" s="8" t="s">
        <v>227</v>
      </c>
      <c r="Q21" s="6">
        <v>7.1886618000000002</v>
      </c>
      <c r="R21" s="6">
        <f>Q21*1.042</f>
        <v>7.4905855956000007</v>
      </c>
      <c r="S21" s="6">
        <f t="shared" ref="S21:U21" si="8">R21*1.042</f>
        <v>7.8051901906152006</v>
      </c>
      <c r="T21" s="6">
        <f t="shared" si="8"/>
        <v>8.13300817862104</v>
      </c>
      <c r="U21" s="6">
        <f t="shared" si="8"/>
        <v>8.4745945221231231</v>
      </c>
      <c r="V21" s="116">
        <f t="shared" si="5"/>
        <v>39.09204028695936</v>
      </c>
    </row>
    <row r="22" spans="1:34" ht="88.5" customHeight="1" x14ac:dyDescent="0.25">
      <c r="A22" s="98" t="s">
        <v>21</v>
      </c>
      <c r="B22" s="9" t="s">
        <v>22</v>
      </c>
      <c r="C22" s="115" t="s">
        <v>188</v>
      </c>
      <c r="D22" s="8" t="s">
        <v>16</v>
      </c>
      <c r="E22" s="8" t="str">
        <f>P22</f>
        <v>2 МВА 
11 км</v>
      </c>
      <c r="F22" s="13">
        <v>2025</v>
      </c>
      <c r="G22" s="13">
        <v>2029</v>
      </c>
      <c r="H22" s="7"/>
      <c r="I22" s="7"/>
      <c r="J22" s="6"/>
      <c r="K22" s="8" t="s">
        <v>228</v>
      </c>
      <c r="L22" s="8" t="s">
        <v>228</v>
      </c>
      <c r="M22" s="8" t="s">
        <v>228</v>
      </c>
      <c r="N22" s="8" t="s">
        <v>228</v>
      </c>
      <c r="O22" s="8" t="s">
        <v>228</v>
      </c>
      <c r="P22" s="8" t="s">
        <v>229</v>
      </c>
      <c r="Q22" s="6">
        <v>12.2917618</v>
      </c>
      <c r="R22" s="6">
        <f>Q22*1.042</f>
        <v>12.808015795599999</v>
      </c>
      <c r="S22" s="6">
        <f t="shared" ref="S22:U22" si="9">R22*1.042</f>
        <v>13.3459524590152</v>
      </c>
      <c r="T22" s="6">
        <f t="shared" si="9"/>
        <v>13.906482462293839</v>
      </c>
      <c r="U22" s="6">
        <f t="shared" si="9"/>
        <v>14.490554725710181</v>
      </c>
      <c r="V22" s="116">
        <f t="shared" si="5"/>
        <v>66.842767242619217</v>
      </c>
      <c r="AC22" s="80"/>
    </row>
    <row r="23" spans="1:34" s="67" customFormat="1" ht="88.5" customHeight="1" x14ac:dyDescent="0.25">
      <c r="A23" s="99" t="s">
        <v>164</v>
      </c>
      <c r="B23" s="137" t="s">
        <v>165</v>
      </c>
      <c r="C23" s="115" t="s">
        <v>175</v>
      </c>
      <c r="D23" s="8" t="s">
        <v>16</v>
      </c>
      <c r="E23" s="8" t="s">
        <v>171</v>
      </c>
      <c r="F23" s="13">
        <v>2024</v>
      </c>
      <c r="G23" s="13">
        <v>2025</v>
      </c>
      <c r="H23" s="7"/>
      <c r="I23" s="7"/>
      <c r="J23" s="6"/>
      <c r="K23" s="8" t="s">
        <v>171</v>
      </c>
      <c r="L23" s="64"/>
      <c r="M23" s="64"/>
      <c r="N23" s="64"/>
      <c r="O23" s="8"/>
      <c r="P23" s="8" t="str">
        <f>K23</f>
        <v>8 МВА</v>
      </c>
      <c r="Q23" s="6">
        <v>42.870111259999995</v>
      </c>
      <c r="R23" s="66"/>
      <c r="S23" s="66"/>
      <c r="T23" s="118"/>
      <c r="U23" s="6"/>
      <c r="V23" s="116">
        <f t="shared" si="5"/>
        <v>42.870111259999995</v>
      </c>
      <c r="W23" s="83"/>
      <c r="X23" s="89"/>
      <c r="Y23" s="89"/>
      <c r="Z23" s="89"/>
      <c r="AA23" s="88"/>
      <c r="AB23" s="88"/>
      <c r="AC23" s="89"/>
      <c r="AD23" s="89"/>
      <c r="AE23" s="89"/>
      <c r="AF23" s="89"/>
      <c r="AG23" s="89"/>
      <c r="AH23" s="89"/>
    </row>
    <row r="24" spans="1:34" s="67" customFormat="1" ht="76.5" customHeight="1" x14ac:dyDescent="0.25">
      <c r="A24" s="99" t="s">
        <v>23</v>
      </c>
      <c r="B24" s="138" t="s">
        <v>274</v>
      </c>
      <c r="C24" s="115" t="s">
        <v>189</v>
      </c>
      <c r="D24" s="8" t="s">
        <v>16</v>
      </c>
      <c r="E24" s="8" t="s">
        <v>192</v>
      </c>
      <c r="F24" s="13">
        <v>2027</v>
      </c>
      <c r="G24" s="13">
        <v>2029</v>
      </c>
      <c r="H24" s="7"/>
      <c r="I24" s="7"/>
      <c r="J24" s="6"/>
      <c r="K24" s="64"/>
      <c r="L24" s="64"/>
      <c r="M24" s="64"/>
      <c r="N24" s="64"/>
      <c r="O24" s="8" t="s">
        <v>192</v>
      </c>
      <c r="P24" s="8" t="str">
        <f>O24</f>
        <v>50 МВА</v>
      </c>
      <c r="Q24" s="6"/>
      <c r="R24" s="6"/>
      <c r="S24" s="6">
        <f>5</f>
        <v>5</v>
      </c>
      <c r="T24" s="6">
        <f>277.822688*0.5*1.042</f>
        <v>144.74562044800001</v>
      </c>
      <c r="U24" s="5">
        <f>(277.822688-Q24-R24-S24-T24)*1.042*1.042</f>
        <v>139.06146917352976</v>
      </c>
      <c r="V24" s="116">
        <f t="shared" si="5"/>
        <v>288.80708962152977</v>
      </c>
      <c r="W24" s="83"/>
      <c r="X24" s="89"/>
      <c r="Y24" s="89"/>
      <c r="Z24" s="89"/>
      <c r="AA24" s="88"/>
      <c r="AB24" s="89"/>
      <c r="AC24" s="89"/>
      <c r="AD24" s="89"/>
      <c r="AE24" s="89"/>
      <c r="AF24" s="89"/>
      <c r="AG24" s="89"/>
      <c r="AH24" s="89"/>
    </row>
    <row r="25" spans="1:34" ht="88.5" customHeight="1" x14ac:dyDescent="0.25">
      <c r="A25" s="98" t="s">
        <v>163</v>
      </c>
      <c r="B25" s="9" t="s">
        <v>170</v>
      </c>
      <c r="C25" s="119" t="s">
        <v>190</v>
      </c>
      <c r="D25" s="8" t="s">
        <v>16</v>
      </c>
      <c r="E25" s="8" t="str">
        <f>P25</f>
        <v>2 МВА 
1 км</v>
      </c>
      <c r="F25" s="13">
        <v>2025</v>
      </c>
      <c r="G25" s="13">
        <v>2029</v>
      </c>
      <c r="H25" s="5"/>
      <c r="I25" s="5"/>
      <c r="J25" s="5"/>
      <c r="K25" s="8" t="s">
        <v>230</v>
      </c>
      <c r="L25" s="8" t="s">
        <v>230</v>
      </c>
      <c r="M25" s="8" t="s">
        <v>230</v>
      </c>
      <c r="N25" s="8" t="s">
        <v>230</v>
      </c>
      <c r="O25" s="8" t="s">
        <v>230</v>
      </c>
      <c r="P25" s="8" t="s">
        <v>231</v>
      </c>
      <c r="Q25" s="5">
        <v>2.6358198000000002</v>
      </c>
      <c r="R25" s="5">
        <f>Q25*1.042</f>
        <v>2.7465242316000005</v>
      </c>
      <c r="S25" s="5">
        <f>R25*1.042</f>
        <v>2.8618782493272006</v>
      </c>
      <c r="T25" s="5">
        <f>S25*1.042</f>
        <v>2.9820771357989431</v>
      </c>
      <c r="U25" s="5">
        <f>T25*1.042</f>
        <v>3.1073243755024986</v>
      </c>
      <c r="V25" s="116">
        <f t="shared" si="5"/>
        <v>14.333623792228641</v>
      </c>
      <c r="X25" s="132"/>
      <c r="Y25" s="132"/>
      <c r="Z25" s="132"/>
      <c r="AA25" s="132"/>
    </row>
    <row r="26" spans="1:34" s="14" customFormat="1" ht="88.5" customHeight="1" x14ac:dyDescent="0.25">
      <c r="A26" s="98" t="s">
        <v>178</v>
      </c>
      <c r="B26" s="136" t="s">
        <v>183</v>
      </c>
      <c r="C26" s="81" t="s">
        <v>179</v>
      </c>
      <c r="D26" s="8" t="s">
        <v>16</v>
      </c>
      <c r="E26" s="8" t="s">
        <v>180</v>
      </c>
      <c r="F26" s="8">
        <v>2024</v>
      </c>
      <c r="G26" s="8">
        <v>2029</v>
      </c>
      <c r="H26" s="5"/>
      <c r="I26" s="5"/>
      <c r="J26" s="120"/>
      <c r="K26" s="8"/>
      <c r="L26" s="8"/>
      <c r="M26" s="8"/>
      <c r="N26" s="8"/>
      <c r="O26" s="8" t="s">
        <v>180</v>
      </c>
      <c r="P26" s="126" t="str">
        <f>O26</f>
        <v>32 МВА</v>
      </c>
      <c r="Q26" s="5">
        <v>5</v>
      </c>
      <c r="R26" s="6">
        <v>5</v>
      </c>
      <c r="S26" s="6">
        <f>385.692251*0.08*1.042+7.17</f>
        <v>39.321306043360003</v>
      </c>
      <c r="T26" s="6">
        <f>385.692251*0.45*1.042*1.042+8.699</f>
        <v>197.14584254664382</v>
      </c>
      <c r="U26" s="5">
        <f>(385.692251-1.5-Q26-R26-S26-T26)*1.042*1.042*1.042</f>
        <v>155.81751033299679</v>
      </c>
      <c r="V26" s="116">
        <f t="shared" si="5"/>
        <v>402.28465892300062</v>
      </c>
      <c r="W26" s="82"/>
      <c r="X26" s="133"/>
      <c r="Y26" s="86"/>
      <c r="Z26" s="134"/>
      <c r="AA26" s="133"/>
      <c r="AB26" s="135"/>
      <c r="AC26" s="86"/>
      <c r="AD26" s="86"/>
      <c r="AE26" s="86"/>
      <c r="AF26" s="86"/>
      <c r="AG26" s="86"/>
      <c r="AH26" s="86"/>
    </row>
    <row r="27" spans="1:34" s="14" customFormat="1" ht="88.5" customHeight="1" x14ac:dyDescent="0.25">
      <c r="A27" s="98" t="s">
        <v>184</v>
      </c>
      <c r="B27" s="136" t="s">
        <v>271</v>
      </c>
      <c r="C27" s="81" t="s">
        <v>191</v>
      </c>
      <c r="D27" s="8" t="s">
        <v>16</v>
      </c>
      <c r="E27" s="8" t="s">
        <v>232</v>
      </c>
      <c r="F27" s="8">
        <v>2025</v>
      </c>
      <c r="G27" s="8">
        <v>2026</v>
      </c>
      <c r="H27" s="5"/>
      <c r="I27" s="5"/>
      <c r="J27" s="120"/>
      <c r="K27" s="8"/>
      <c r="L27" s="8" t="s">
        <v>232</v>
      </c>
      <c r="M27" s="8"/>
      <c r="N27" s="8"/>
      <c r="O27" s="8"/>
      <c r="P27" s="126" t="str">
        <f>L27</f>
        <v>40 МВА</v>
      </c>
      <c r="Q27" s="5">
        <f>120.432/1.2*0.3+16.128/1.2*0.3</f>
        <v>34.14</v>
      </c>
      <c r="R27" s="5">
        <f>120.432/1.2*0.7*1.046+16.128/1.2*0.7*1.046</f>
        <v>83.324359999999999</v>
      </c>
      <c r="S27" s="6"/>
      <c r="T27" s="6"/>
      <c r="U27" s="5"/>
      <c r="V27" s="116">
        <f t="shared" si="5"/>
        <v>117.46436</v>
      </c>
      <c r="W27" s="82"/>
      <c r="X27" s="86"/>
      <c r="Y27" s="86"/>
      <c r="Z27" s="86"/>
      <c r="AA27" s="135"/>
      <c r="AB27" s="135"/>
      <c r="AC27" s="86"/>
      <c r="AD27" s="86"/>
      <c r="AE27" s="86"/>
      <c r="AF27" s="86"/>
      <c r="AG27" s="86"/>
      <c r="AH27" s="86"/>
    </row>
    <row r="28" spans="1:34" x14ac:dyDescent="0.25">
      <c r="A28" s="98" t="s">
        <v>24</v>
      </c>
      <c r="B28" s="9"/>
      <c r="C28" s="9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5"/>
      <c r="R28" s="5"/>
      <c r="S28" s="5"/>
      <c r="T28" s="5"/>
      <c r="U28" s="5"/>
      <c r="V28" s="100"/>
    </row>
    <row r="29" spans="1:34" x14ac:dyDescent="0.25">
      <c r="A29" s="121" t="s">
        <v>26</v>
      </c>
      <c r="B29" s="122" t="s">
        <v>25</v>
      </c>
      <c r="C29" s="122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5"/>
      <c r="R29" s="5"/>
      <c r="S29" s="5"/>
      <c r="T29" s="5"/>
      <c r="U29" s="5"/>
      <c r="V29" s="100"/>
    </row>
    <row r="30" spans="1:34" x14ac:dyDescent="0.25">
      <c r="A30" s="98" t="s">
        <v>29</v>
      </c>
      <c r="B30" s="9" t="s">
        <v>27</v>
      </c>
      <c r="C30" s="9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5"/>
      <c r="R30" s="5"/>
      <c r="S30" s="5"/>
      <c r="T30" s="5"/>
      <c r="U30" s="5"/>
      <c r="V30" s="100"/>
    </row>
    <row r="31" spans="1:34" x14ac:dyDescent="0.25">
      <c r="A31" s="98" t="s">
        <v>30</v>
      </c>
      <c r="B31" s="9" t="s">
        <v>28</v>
      </c>
      <c r="C31" s="9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5"/>
      <c r="R31" s="5"/>
      <c r="S31" s="5"/>
      <c r="T31" s="5"/>
      <c r="U31" s="5"/>
      <c r="V31" s="100"/>
    </row>
    <row r="32" spans="1:34" x14ac:dyDescent="0.25">
      <c r="A32" s="98" t="s">
        <v>24</v>
      </c>
      <c r="B32" s="9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5"/>
      <c r="R32" s="5"/>
      <c r="S32" s="5"/>
      <c r="T32" s="5"/>
      <c r="U32" s="5"/>
      <c r="V32" s="100"/>
    </row>
    <row r="33" spans="1:28" x14ac:dyDescent="0.25">
      <c r="A33" s="121" t="s">
        <v>32</v>
      </c>
      <c r="B33" s="122" t="s">
        <v>31</v>
      </c>
      <c r="C33" s="122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5"/>
      <c r="R33" s="5"/>
      <c r="S33" s="5"/>
      <c r="T33" s="5"/>
      <c r="U33" s="5"/>
      <c r="V33" s="100"/>
    </row>
    <row r="34" spans="1:28" x14ac:dyDescent="0.25">
      <c r="A34" s="98" t="s">
        <v>29</v>
      </c>
      <c r="B34" s="9" t="s">
        <v>27</v>
      </c>
      <c r="C34" s="9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5"/>
      <c r="R34" s="5"/>
      <c r="S34" s="5"/>
      <c r="T34" s="5"/>
      <c r="U34" s="5"/>
      <c r="V34" s="100"/>
    </row>
    <row r="35" spans="1:28" x14ac:dyDescent="0.25">
      <c r="A35" s="98" t="s">
        <v>30</v>
      </c>
      <c r="B35" s="9" t="s">
        <v>28</v>
      </c>
      <c r="C35" s="9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5"/>
      <c r="R35" s="5"/>
      <c r="S35" s="5"/>
      <c r="T35" s="5"/>
      <c r="U35" s="5"/>
      <c r="V35" s="100"/>
    </row>
    <row r="36" spans="1:28" x14ac:dyDescent="0.25">
      <c r="A36" s="98" t="s">
        <v>24</v>
      </c>
      <c r="B36" s="9"/>
      <c r="C36" s="9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5"/>
      <c r="R36" s="5"/>
      <c r="S36" s="5"/>
      <c r="T36" s="5"/>
      <c r="U36" s="5"/>
      <c r="V36" s="100"/>
    </row>
    <row r="37" spans="1:28" ht="37.5" x14ac:dyDescent="0.25">
      <c r="A37" s="121" t="s">
        <v>34</v>
      </c>
      <c r="B37" s="122" t="s">
        <v>33</v>
      </c>
      <c r="C37" s="12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5"/>
      <c r="R37" s="5"/>
      <c r="S37" s="5"/>
      <c r="T37" s="5"/>
      <c r="U37" s="5"/>
      <c r="V37" s="100"/>
    </row>
    <row r="38" spans="1:28" x14ac:dyDescent="0.25">
      <c r="A38" s="98" t="s">
        <v>29</v>
      </c>
      <c r="B38" s="9" t="s">
        <v>27</v>
      </c>
      <c r="C38" s="9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5"/>
      <c r="R38" s="5"/>
      <c r="S38" s="5"/>
      <c r="T38" s="5"/>
      <c r="U38" s="5"/>
      <c r="V38" s="100"/>
    </row>
    <row r="39" spans="1:28" x14ac:dyDescent="0.25">
      <c r="A39" s="98" t="s">
        <v>30</v>
      </c>
      <c r="B39" s="9" t="s">
        <v>28</v>
      </c>
      <c r="C39" s="9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5"/>
      <c r="R39" s="5"/>
      <c r="S39" s="5"/>
      <c r="T39" s="5"/>
      <c r="U39" s="5"/>
      <c r="V39" s="100"/>
    </row>
    <row r="40" spans="1:28" x14ac:dyDescent="0.25">
      <c r="A40" s="98" t="s">
        <v>24</v>
      </c>
      <c r="B40" s="9"/>
      <c r="C40" s="9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5"/>
      <c r="R40" s="5"/>
      <c r="S40" s="5"/>
      <c r="T40" s="5"/>
      <c r="U40" s="5"/>
      <c r="V40" s="100"/>
    </row>
    <row r="41" spans="1:28" x14ac:dyDescent="0.25">
      <c r="A41" s="121" t="s">
        <v>35</v>
      </c>
      <c r="B41" s="122" t="s">
        <v>36</v>
      </c>
      <c r="C41" s="122"/>
      <c r="D41" s="8"/>
      <c r="E41" s="8"/>
      <c r="F41" s="8"/>
      <c r="G41" s="8"/>
      <c r="H41" s="27"/>
      <c r="I41" s="27"/>
      <c r="J41" s="27"/>
      <c r="K41" s="5"/>
      <c r="L41" s="5"/>
      <c r="M41" s="5"/>
      <c r="N41" s="5"/>
      <c r="O41" s="5"/>
      <c r="P41" s="5"/>
      <c r="Q41" s="27">
        <f>Q42+Q43+Q44</f>
        <v>95.735531370000004</v>
      </c>
      <c r="R41" s="27">
        <f t="shared" ref="R41:T41" si="10">R42+R43+R44</f>
        <v>93.083136647999993</v>
      </c>
      <c r="S41" s="27">
        <f t="shared" si="10"/>
        <v>89.109349974346671</v>
      </c>
      <c r="T41" s="27">
        <f t="shared" si="10"/>
        <v>88.937545280535474</v>
      </c>
      <c r="U41" s="27">
        <f>SUM(U42:U44)</f>
        <v>92.182518231333702</v>
      </c>
      <c r="V41" s="101">
        <f>SUM(V42:V44)</f>
        <v>459.04808150421582</v>
      </c>
    </row>
    <row r="42" spans="1:28" ht="27" customHeight="1" x14ac:dyDescent="0.25">
      <c r="A42" s="98" t="s">
        <v>38</v>
      </c>
      <c r="B42" s="9" t="s">
        <v>37</v>
      </c>
      <c r="C42" s="115" t="s">
        <v>199</v>
      </c>
      <c r="D42" s="8"/>
      <c r="E42" s="8"/>
      <c r="F42" s="13">
        <v>2025</v>
      </c>
      <c r="G42" s="13">
        <v>2029</v>
      </c>
      <c r="H42" s="5"/>
      <c r="I42" s="5"/>
      <c r="J42" s="5"/>
      <c r="K42" s="5"/>
      <c r="L42" s="5"/>
      <c r="M42" s="5"/>
      <c r="N42" s="5"/>
      <c r="O42" s="5"/>
      <c r="P42" s="33"/>
      <c r="Q42" s="7">
        <v>60.330931999999997</v>
      </c>
      <c r="R42" s="127">
        <v>62.229511000000002</v>
      </c>
      <c r="S42" s="127">
        <v>64.996765999999994</v>
      </c>
      <c r="T42" s="127">
        <v>66.625056000000001</v>
      </c>
      <c r="U42" s="128">
        <v>69.896224000000004</v>
      </c>
      <c r="V42" s="100">
        <f>Q42+R42+S42+T42+U42</f>
        <v>324.07848899999999</v>
      </c>
    </row>
    <row r="43" spans="1:28" ht="27" customHeight="1" x14ac:dyDescent="0.25">
      <c r="A43" s="98" t="s">
        <v>166</v>
      </c>
      <c r="B43" s="9" t="s">
        <v>273</v>
      </c>
      <c r="C43" s="115" t="s">
        <v>200</v>
      </c>
      <c r="D43" s="8"/>
      <c r="E43" s="8"/>
      <c r="F43" s="13">
        <v>2025</v>
      </c>
      <c r="G43" s="13">
        <v>2029</v>
      </c>
      <c r="H43" s="5"/>
      <c r="I43" s="5"/>
      <c r="J43" s="5"/>
      <c r="K43" s="5"/>
      <c r="L43" s="5"/>
      <c r="M43" s="5"/>
      <c r="N43" s="5"/>
      <c r="O43" s="5"/>
      <c r="P43" s="33"/>
      <c r="Q43" s="129">
        <v>20.760599370000001</v>
      </c>
      <c r="R43" s="129">
        <v>15.594577648</v>
      </c>
      <c r="S43" s="129">
        <v>8.2126559583466694</v>
      </c>
      <c r="T43" s="129">
        <v>5.7447642878634699</v>
      </c>
      <c r="U43" s="130">
        <v>5.0227247889694704</v>
      </c>
      <c r="V43" s="100">
        <f>Q43+R43+S43+T43+U43</f>
        <v>55.335322053179603</v>
      </c>
    </row>
    <row r="44" spans="1:28" ht="27" customHeight="1" x14ac:dyDescent="0.25">
      <c r="A44" s="98" t="s">
        <v>167</v>
      </c>
      <c r="B44" s="9" t="s">
        <v>272</v>
      </c>
      <c r="C44" s="115" t="s">
        <v>201</v>
      </c>
      <c r="D44" s="8"/>
      <c r="E44" s="8"/>
      <c r="F44" s="13">
        <v>2025</v>
      </c>
      <c r="G44" s="13">
        <v>2029</v>
      </c>
      <c r="H44" s="5"/>
      <c r="I44" s="5"/>
      <c r="J44" s="5"/>
      <c r="K44" s="5"/>
      <c r="L44" s="5"/>
      <c r="M44" s="5"/>
      <c r="N44" s="5"/>
      <c r="O44" s="5"/>
      <c r="P44" s="33"/>
      <c r="Q44" s="127">
        <v>14.644</v>
      </c>
      <c r="R44" s="127">
        <f>Q44*1.042</f>
        <v>15.259048</v>
      </c>
      <c r="S44" s="127">
        <f>R44*1.042</f>
        <v>15.899928016</v>
      </c>
      <c r="T44" s="127">
        <f>S44*1.042</f>
        <v>16.567724992672002</v>
      </c>
      <c r="U44" s="128">
        <f>T44*1.042</f>
        <v>17.263569442364226</v>
      </c>
      <c r="V44" s="100">
        <f>Q44+R44+S44+T44+U44</f>
        <v>79.63427045103623</v>
      </c>
    </row>
    <row r="45" spans="1:28" x14ac:dyDescent="0.25">
      <c r="A45" s="98" t="s">
        <v>177</v>
      </c>
      <c r="B45" s="9"/>
      <c r="C45" s="9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5"/>
      <c r="R45" s="5"/>
      <c r="S45" s="5"/>
      <c r="T45" s="5"/>
      <c r="U45" s="5"/>
      <c r="V45" s="100"/>
    </row>
    <row r="46" spans="1:28" ht="43.5" customHeight="1" x14ac:dyDescent="0.25">
      <c r="A46" s="121" t="s">
        <v>30</v>
      </c>
      <c r="B46" s="122" t="s">
        <v>39</v>
      </c>
      <c r="C46" s="122"/>
      <c r="D46" s="8"/>
      <c r="E46" s="34" t="str">
        <f>E47</f>
        <v>43,7 МВА 
184,9 км</v>
      </c>
      <c r="F46" s="34"/>
      <c r="G46" s="34"/>
      <c r="H46" s="27"/>
      <c r="I46" s="27"/>
      <c r="J46" s="27"/>
      <c r="K46" s="27" t="str">
        <f>K47</f>
        <v>5,26 МВА  
47,25 км</v>
      </c>
      <c r="L46" s="27" t="str">
        <f t="shared" ref="L46:O46" si="11">L47</f>
        <v>5,26 МВА  
21,9 км</v>
      </c>
      <c r="M46" s="27" t="str">
        <f>M47</f>
        <v>19,46 МВА 
30,1 км</v>
      </c>
      <c r="N46" s="27" t="str">
        <f t="shared" si="11"/>
        <v>6,86 МВА 
29,3 км</v>
      </c>
      <c r="O46" s="27" t="str">
        <f t="shared" si="11"/>
        <v>6,86 МВА 
35,99 км</v>
      </c>
      <c r="P46" s="27" t="str">
        <f t="shared" ref="P46:T46" si="12">P47</f>
        <v>43,7 МВА 
164,5км</v>
      </c>
      <c r="Q46" s="27">
        <f t="shared" si="12"/>
        <v>333.85171405759996</v>
      </c>
      <c r="R46" s="27">
        <f t="shared" si="12"/>
        <v>371.74105282748803</v>
      </c>
      <c r="S46" s="27">
        <f t="shared" si="12"/>
        <v>443.48847864749496</v>
      </c>
      <c r="T46" s="27">
        <f t="shared" si="12"/>
        <v>170.8232143233721</v>
      </c>
      <c r="U46" s="27">
        <f>U47</f>
        <v>254.0851934049538</v>
      </c>
      <c r="V46" s="101">
        <f>V47</f>
        <v>1573.9896532609089</v>
      </c>
    </row>
    <row r="47" spans="1:28" ht="45.75" customHeight="1" x14ac:dyDescent="0.25">
      <c r="A47" s="121" t="s">
        <v>40</v>
      </c>
      <c r="B47" s="122" t="s">
        <v>9</v>
      </c>
      <c r="C47" s="122"/>
      <c r="D47" s="8"/>
      <c r="E47" s="34" t="s">
        <v>267</v>
      </c>
      <c r="F47" s="8"/>
      <c r="G47" s="8"/>
      <c r="H47" s="27"/>
      <c r="I47" s="27"/>
      <c r="J47" s="5"/>
      <c r="K47" s="27" t="s">
        <v>264</v>
      </c>
      <c r="L47" s="27" t="s">
        <v>258</v>
      </c>
      <c r="M47" s="27" t="s">
        <v>244</v>
      </c>
      <c r="N47" s="27" t="s">
        <v>247</v>
      </c>
      <c r="O47" s="27" t="s">
        <v>252</v>
      </c>
      <c r="P47" s="34" t="s">
        <v>265</v>
      </c>
      <c r="Q47" s="27">
        <f>SUM(Q48:Q59)</f>
        <v>333.85171405759996</v>
      </c>
      <c r="R47" s="27">
        <f>SUM(R48:R59)</f>
        <v>371.74105282748803</v>
      </c>
      <c r="S47" s="27">
        <f t="shared" ref="S47:V47" si="13">SUM(S48:S59)</f>
        <v>443.48847864749496</v>
      </c>
      <c r="T47" s="27">
        <f t="shared" si="13"/>
        <v>170.8232143233721</v>
      </c>
      <c r="U47" s="27">
        <f t="shared" si="13"/>
        <v>254.0851934049538</v>
      </c>
      <c r="V47" s="101">
        <f t="shared" si="13"/>
        <v>1573.9896532609089</v>
      </c>
      <c r="W47" s="90"/>
      <c r="X47" s="90"/>
      <c r="Y47" s="84"/>
      <c r="Z47" s="91"/>
      <c r="AA47" s="93"/>
      <c r="AB47" s="92"/>
    </row>
    <row r="48" spans="1:28" ht="88.5" customHeight="1" x14ac:dyDescent="0.25">
      <c r="A48" s="98" t="s">
        <v>41</v>
      </c>
      <c r="B48" s="9" t="s">
        <v>98</v>
      </c>
      <c r="C48" s="115" t="s">
        <v>202</v>
      </c>
      <c r="D48" s="8" t="s">
        <v>16</v>
      </c>
      <c r="E48" s="8"/>
      <c r="F48" s="13">
        <v>2025</v>
      </c>
      <c r="G48" s="13">
        <v>2029</v>
      </c>
      <c r="H48" s="5"/>
      <c r="I48" s="5"/>
      <c r="J48" s="5"/>
      <c r="K48" s="8"/>
      <c r="L48" s="8"/>
      <c r="M48" s="8"/>
      <c r="N48" s="8"/>
      <c r="O48" s="8"/>
      <c r="P48" s="126"/>
      <c r="Q48" s="7">
        <v>15</v>
      </c>
      <c r="R48" s="7">
        <f>Q48*1.04</f>
        <v>15.600000000000001</v>
      </c>
      <c r="S48" s="7">
        <f>R48*1.04</f>
        <v>16.224000000000004</v>
      </c>
      <c r="T48" s="7">
        <f>S48*1.04</f>
        <v>16.872960000000006</v>
      </c>
      <c r="U48" s="7">
        <f>T48*1.04</f>
        <v>17.547878400000005</v>
      </c>
      <c r="V48" s="100">
        <f t="shared" ref="V48:V53" si="14">Q48+R48+S48+T48+U48</f>
        <v>81.24483840000002</v>
      </c>
      <c r="W48" s="84"/>
      <c r="X48" s="84"/>
    </row>
    <row r="49" spans="1:34" ht="88.5" customHeight="1" x14ac:dyDescent="0.25">
      <c r="A49" s="98" t="s">
        <v>42</v>
      </c>
      <c r="B49" s="9" t="s">
        <v>159</v>
      </c>
      <c r="C49" s="115" t="s">
        <v>176</v>
      </c>
      <c r="D49" s="8" t="s">
        <v>16</v>
      </c>
      <c r="E49" s="8" t="s">
        <v>266</v>
      </c>
      <c r="F49" s="8">
        <v>2022</v>
      </c>
      <c r="G49" s="8">
        <v>2026</v>
      </c>
      <c r="H49" s="5"/>
      <c r="I49" s="5"/>
      <c r="J49" s="123"/>
      <c r="K49" s="8" t="s">
        <v>262</v>
      </c>
      <c r="L49" s="8" t="s">
        <v>257</v>
      </c>
      <c r="M49" s="8"/>
      <c r="N49" s="8"/>
      <c r="O49" s="8"/>
      <c r="P49" s="8" t="s">
        <v>263</v>
      </c>
      <c r="Q49" s="5">
        <f>(33.6-7.3-6.6-6.4)*(4+0.5)*1.052</f>
        <v>62.96220000000001</v>
      </c>
      <c r="R49" s="7">
        <f>Q49*1.042*0.5</f>
        <v>32.803306200000009</v>
      </c>
      <c r="S49" s="5"/>
      <c r="T49" s="6"/>
      <c r="U49" s="6"/>
      <c r="V49" s="100">
        <f t="shared" si="14"/>
        <v>95.765506200000019</v>
      </c>
    </row>
    <row r="50" spans="1:34" ht="88.5" customHeight="1" x14ac:dyDescent="0.25">
      <c r="A50" s="98" t="s">
        <v>99</v>
      </c>
      <c r="B50" s="9" t="s">
        <v>162</v>
      </c>
      <c r="C50" s="115" t="s">
        <v>203</v>
      </c>
      <c r="D50" s="8" t="s">
        <v>16</v>
      </c>
      <c r="E50" s="8" t="str">
        <f>P50</f>
        <v>2 МВА
24,6 км</v>
      </c>
      <c r="F50" s="13">
        <v>2025</v>
      </c>
      <c r="G50" s="13">
        <v>2029</v>
      </c>
      <c r="H50" s="5"/>
      <c r="I50" s="5"/>
      <c r="J50" s="123"/>
      <c r="K50" s="8" t="s">
        <v>235</v>
      </c>
      <c r="L50" s="8" t="s">
        <v>234</v>
      </c>
      <c r="M50" s="8" t="s">
        <v>234</v>
      </c>
      <c r="N50" s="8" t="s">
        <v>234</v>
      </c>
      <c r="O50" s="8" t="s">
        <v>256</v>
      </c>
      <c r="P50" s="8" t="s">
        <v>251</v>
      </c>
      <c r="Q50" s="5">
        <v>85.857297799999998</v>
      </c>
      <c r="R50" s="5">
        <v>7.1886618000000002</v>
      </c>
      <c r="S50" s="7">
        <f>R50*1.042</f>
        <v>7.4905855956000007</v>
      </c>
      <c r="T50" s="7">
        <f>S50*1.042</f>
        <v>7.8051901906152006</v>
      </c>
      <c r="U50" s="7">
        <f>T50*1.042+16.891+59.23</f>
        <v>84.254008178621035</v>
      </c>
      <c r="V50" s="100">
        <f t="shared" si="14"/>
        <v>192.59574356483625</v>
      </c>
    </row>
    <row r="51" spans="1:34" s="14" customFormat="1" ht="88.5" customHeight="1" x14ac:dyDescent="0.25">
      <c r="A51" s="98" t="s">
        <v>43</v>
      </c>
      <c r="B51" s="9" t="s">
        <v>100</v>
      </c>
      <c r="C51" s="115" t="s">
        <v>204</v>
      </c>
      <c r="D51" s="8" t="s">
        <v>16</v>
      </c>
      <c r="E51" s="8" t="str">
        <f t="shared" ref="E51:E56" si="15">P51</f>
        <v>2 МВА 
8,5 км</v>
      </c>
      <c r="F51" s="13">
        <v>2025</v>
      </c>
      <c r="G51" s="13">
        <v>2029</v>
      </c>
      <c r="H51" s="5"/>
      <c r="I51" s="5"/>
      <c r="J51" s="123"/>
      <c r="K51" s="8" t="s">
        <v>226</v>
      </c>
      <c r="L51" s="8" t="s">
        <v>226</v>
      </c>
      <c r="M51" s="8" t="s">
        <v>226</v>
      </c>
      <c r="N51" s="8" t="s">
        <v>226</v>
      </c>
      <c r="O51" s="8" t="s">
        <v>226</v>
      </c>
      <c r="P51" s="8" t="s">
        <v>227</v>
      </c>
      <c r="Q51" s="5">
        <v>7.1886618000000002</v>
      </c>
      <c r="R51" s="6">
        <f>Q51*1.042</f>
        <v>7.4905855956000007</v>
      </c>
      <c r="S51" s="6">
        <f t="shared" ref="S51:U52" si="16">R51*1.042</f>
        <v>7.8051901906152006</v>
      </c>
      <c r="T51" s="6">
        <f t="shared" si="16"/>
        <v>8.13300817862104</v>
      </c>
      <c r="U51" s="6">
        <f t="shared" si="16"/>
        <v>8.4745945221231231</v>
      </c>
      <c r="V51" s="100">
        <f t="shared" si="14"/>
        <v>39.09204028695936</v>
      </c>
      <c r="W51" s="82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</row>
    <row r="52" spans="1:34" s="14" customFormat="1" ht="88.5" customHeight="1" x14ac:dyDescent="0.25">
      <c r="A52" s="98" t="s">
        <v>44</v>
      </c>
      <c r="B52" s="9" t="s">
        <v>48</v>
      </c>
      <c r="C52" s="115" t="s">
        <v>205</v>
      </c>
      <c r="D52" s="8" t="s">
        <v>16</v>
      </c>
      <c r="E52" s="8" t="str">
        <f t="shared" si="15"/>
        <v>2 МВА 
8,5 км</v>
      </c>
      <c r="F52" s="13">
        <v>2025</v>
      </c>
      <c r="G52" s="13">
        <v>2029</v>
      </c>
      <c r="H52" s="5"/>
      <c r="I52" s="5"/>
      <c r="J52" s="123"/>
      <c r="K52" s="8" t="s">
        <v>226</v>
      </c>
      <c r="L52" s="8" t="s">
        <v>226</v>
      </c>
      <c r="M52" s="8" t="s">
        <v>226</v>
      </c>
      <c r="N52" s="8" t="s">
        <v>226</v>
      </c>
      <c r="O52" s="8" t="s">
        <v>226</v>
      </c>
      <c r="P52" s="8" t="s">
        <v>227</v>
      </c>
      <c r="Q52" s="5">
        <v>7.1886618000000002</v>
      </c>
      <c r="R52" s="6">
        <f>Q52*1.042</f>
        <v>7.4905855956000007</v>
      </c>
      <c r="S52" s="6">
        <f t="shared" si="16"/>
        <v>7.8051901906152006</v>
      </c>
      <c r="T52" s="6">
        <f t="shared" si="16"/>
        <v>8.13300817862104</v>
      </c>
      <c r="U52" s="6">
        <f t="shared" si="16"/>
        <v>8.4745945221231231</v>
      </c>
      <c r="V52" s="100">
        <f t="shared" si="14"/>
        <v>39.09204028695936</v>
      </c>
      <c r="W52" s="82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</row>
    <row r="53" spans="1:34" s="14" customFormat="1" ht="88.5" customHeight="1" x14ac:dyDescent="0.25">
      <c r="A53" s="98" t="s">
        <v>213</v>
      </c>
      <c r="B53" s="9" t="s">
        <v>90</v>
      </c>
      <c r="C53" s="115" t="s">
        <v>206</v>
      </c>
      <c r="D53" s="8" t="s">
        <v>16</v>
      </c>
      <c r="E53" s="8" t="str">
        <f>P53</f>
        <v>8,4 МВА 
46,2 км</v>
      </c>
      <c r="F53" s="13">
        <v>2025</v>
      </c>
      <c r="G53" s="13">
        <v>2029</v>
      </c>
      <c r="H53" s="5"/>
      <c r="I53" s="5"/>
      <c r="J53" s="123"/>
      <c r="K53" s="8" t="s">
        <v>236</v>
      </c>
      <c r="L53" s="8" t="s">
        <v>236</v>
      </c>
      <c r="M53" s="8" t="s">
        <v>229</v>
      </c>
      <c r="N53" s="8" t="s">
        <v>229</v>
      </c>
      <c r="O53" s="8" t="s">
        <v>229</v>
      </c>
      <c r="P53" s="8" t="s">
        <v>237</v>
      </c>
      <c r="Q53" s="6">
        <f>10.7829927+20.9074927</f>
        <v>31.6904854</v>
      </c>
      <c r="R53" s="6">
        <f>11.236+21.786</f>
        <v>33.022000000000006</v>
      </c>
      <c r="S53" s="86">
        <f>17.972+36.179</f>
        <v>54.151000000000003</v>
      </c>
      <c r="T53" s="5">
        <f>18.726+37.699</f>
        <v>56.424999999999997</v>
      </c>
      <c r="U53" s="6">
        <f>19.513+39.282</f>
        <v>58.795000000000002</v>
      </c>
      <c r="V53" s="100">
        <f t="shared" si="14"/>
        <v>234.08348540000003</v>
      </c>
      <c r="W53" s="82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</row>
    <row r="54" spans="1:34" ht="88.5" customHeight="1" x14ac:dyDescent="0.25">
      <c r="A54" s="98" t="s">
        <v>45</v>
      </c>
      <c r="B54" s="9" t="s">
        <v>49</v>
      </c>
      <c r="C54" s="115" t="s">
        <v>207</v>
      </c>
      <c r="D54" s="8" t="s">
        <v>16</v>
      </c>
      <c r="E54" s="8" t="str">
        <f t="shared" si="15"/>
        <v>3,2 МВА 
13,6 км</v>
      </c>
      <c r="F54" s="13">
        <v>2025</v>
      </c>
      <c r="G54" s="13">
        <v>2029</v>
      </c>
      <c r="H54" s="5"/>
      <c r="I54" s="5"/>
      <c r="J54" s="124"/>
      <c r="K54" s="8" t="s">
        <v>226</v>
      </c>
      <c r="L54" s="8" t="s">
        <v>226</v>
      </c>
      <c r="M54" s="8" t="s">
        <v>224</v>
      </c>
      <c r="N54" s="8" t="s">
        <v>224</v>
      </c>
      <c r="O54" s="8" t="s">
        <v>224</v>
      </c>
      <c r="P54" s="8" t="s">
        <v>238</v>
      </c>
      <c r="Q54" s="5">
        <v>7.1886618000000002</v>
      </c>
      <c r="R54" s="6">
        <f>Q54*1.042</f>
        <v>7.4905855956000007</v>
      </c>
      <c r="S54" s="7">
        <v>14.377000000000001</v>
      </c>
      <c r="T54" s="5">
        <f>S54*1.042</f>
        <v>14.980834000000002</v>
      </c>
      <c r="U54" s="5">
        <f>T54*1.042</f>
        <v>15.610029028000001</v>
      </c>
      <c r="V54" s="100">
        <f t="shared" ref="V54:V59" si="17">Q54+R54+S54+T54+U54</f>
        <v>59.647110423600004</v>
      </c>
    </row>
    <row r="55" spans="1:34" ht="88.5" customHeight="1" x14ac:dyDescent="0.3">
      <c r="A55" s="98" t="s">
        <v>46</v>
      </c>
      <c r="B55" s="9" t="s">
        <v>50</v>
      </c>
      <c r="C55" s="115" t="s">
        <v>208</v>
      </c>
      <c r="D55" s="8" t="s">
        <v>16</v>
      </c>
      <c r="E55" s="8" t="str">
        <f t="shared" si="15"/>
        <v>2 МВА 
8,5 км</v>
      </c>
      <c r="F55" s="13">
        <v>2025</v>
      </c>
      <c r="G55" s="13">
        <v>2029</v>
      </c>
      <c r="H55" s="5"/>
      <c r="I55" s="5"/>
      <c r="J55" s="125"/>
      <c r="K55" s="8" t="s">
        <v>226</v>
      </c>
      <c r="L55" s="8" t="s">
        <v>226</v>
      </c>
      <c r="M55" s="8" t="s">
        <v>226</v>
      </c>
      <c r="N55" s="8" t="s">
        <v>226</v>
      </c>
      <c r="O55" s="8" t="s">
        <v>226</v>
      </c>
      <c r="P55" s="8" t="s">
        <v>227</v>
      </c>
      <c r="Q55" s="5">
        <v>7.1886618000000002</v>
      </c>
      <c r="R55" s="6">
        <f>Q55*1.042</f>
        <v>7.4905855956000007</v>
      </c>
      <c r="S55" s="6">
        <f t="shared" ref="S55:U55" si="18">R55*1.042</f>
        <v>7.8051901906152006</v>
      </c>
      <c r="T55" s="6">
        <f t="shared" si="18"/>
        <v>8.13300817862104</v>
      </c>
      <c r="U55" s="6">
        <f t="shared" si="18"/>
        <v>8.4745945221231231</v>
      </c>
      <c r="V55" s="100">
        <f t="shared" si="17"/>
        <v>39.09204028695936</v>
      </c>
    </row>
    <row r="56" spans="1:34" ht="88.5" customHeight="1" x14ac:dyDescent="0.25">
      <c r="A56" s="98" t="s">
        <v>47</v>
      </c>
      <c r="B56" s="9" t="s">
        <v>53</v>
      </c>
      <c r="C56" s="115" t="s">
        <v>209</v>
      </c>
      <c r="D56" s="8" t="s">
        <v>16</v>
      </c>
      <c r="E56" s="8" t="str">
        <f t="shared" si="15"/>
        <v>6,3 МВА 
18,4 км</v>
      </c>
      <c r="F56" s="13">
        <v>2025</v>
      </c>
      <c r="G56" s="13">
        <v>2029</v>
      </c>
      <c r="H56" s="5"/>
      <c r="I56" s="5"/>
      <c r="J56" s="123"/>
      <c r="K56" s="8" t="s">
        <v>239</v>
      </c>
      <c r="L56" s="8" t="s">
        <v>240</v>
      </c>
      <c r="M56" s="8" t="s">
        <v>240</v>
      </c>
      <c r="N56" s="8" t="s">
        <v>240</v>
      </c>
      <c r="O56" s="8" t="s">
        <v>240</v>
      </c>
      <c r="P56" s="8" t="s">
        <v>241</v>
      </c>
      <c r="Q56" s="6">
        <f>12.032368+25.406965</f>
        <v>37.439332999999998</v>
      </c>
      <c r="R56" s="6">
        <f>12.537727456*2</f>
        <v>25.075454912000001</v>
      </c>
      <c r="S56" s="7">
        <f>R56*1.042</f>
        <v>26.128624018304002</v>
      </c>
      <c r="T56" s="7">
        <f t="shared" ref="T56:U56" si="19">S56*1.042</f>
        <v>27.226026227072772</v>
      </c>
      <c r="U56" s="7">
        <f t="shared" si="19"/>
        <v>28.36951932860983</v>
      </c>
      <c r="V56" s="100">
        <f t="shared" si="17"/>
        <v>144.23895748598662</v>
      </c>
      <c r="AD56" s="80"/>
    </row>
    <row r="57" spans="1:34" ht="88.5" customHeight="1" x14ac:dyDescent="0.25">
      <c r="A57" s="98" t="s">
        <v>51</v>
      </c>
      <c r="B57" s="9" t="s">
        <v>104</v>
      </c>
      <c r="C57" s="115" t="s">
        <v>174</v>
      </c>
      <c r="D57" s="8" t="s">
        <v>16</v>
      </c>
      <c r="E57" s="8" t="s">
        <v>210</v>
      </c>
      <c r="F57" s="8">
        <v>2019</v>
      </c>
      <c r="G57" s="8">
        <v>2027</v>
      </c>
      <c r="H57" s="5"/>
      <c r="I57" s="7"/>
      <c r="J57" s="123"/>
      <c r="K57" s="8"/>
      <c r="L57" s="8"/>
      <c r="M57" s="8" t="str">
        <f>E57</f>
        <v>12,6 МВА
2-х цепная ВЛ-35кВ 
0,4 км</v>
      </c>
      <c r="N57" s="8"/>
      <c r="O57" s="8"/>
      <c r="P57" s="8" t="str">
        <f>M57</f>
        <v>12,6 МВА
2-х цепная ВЛ-35кВ 
0,4 км</v>
      </c>
      <c r="Q57" s="5">
        <f>481.86508*0.11*1.052+2.009</f>
        <v>57.770427057600003</v>
      </c>
      <c r="R57" s="5">
        <f>481.86508*0.4*1.052*1.042+1.823</f>
        <v>213.10811634188804</v>
      </c>
      <c r="S57" s="5">
        <f>481.86508*1.052*1.042*1.042-Q57-R57</f>
        <v>279.51918467113018</v>
      </c>
      <c r="T57" s="6"/>
      <c r="U57" s="6"/>
      <c r="V57" s="100">
        <f t="shared" si="17"/>
        <v>550.3977280706182</v>
      </c>
    </row>
    <row r="58" spans="1:34" ht="88.5" customHeight="1" x14ac:dyDescent="0.25">
      <c r="A58" s="98" t="s">
        <v>52</v>
      </c>
      <c r="B58" s="9" t="s">
        <v>160</v>
      </c>
      <c r="C58" s="115" t="s">
        <v>211</v>
      </c>
      <c r="D58" s="8" t="s">
        <v>16</v>
      </c>
      <c r="E58" s="8" t="str">
        <f>P58</f>
        <v>3,2 МВА 
13,6 км</v>
      </c>
      <c r="F58" s="13">
        <v>2025</v>
      </c>
      <c r="G58" s="13">
        <v>2029</v>
      </c>
      <c r="H58" s="5"/>
      <c r="I58" s="5"/>
      <c r="J58" s="123"/>
      <c r="K58" s="8" t="s">
        <v>226</v>
      </c>
      <c r="L58" s="8" t="s">
        <v>226</v>
      </c>
      <c r="M58" s="8" t="s">
        <v>224</v>
      </c>
      <c r="N58" s="8" t="s">
        <v>224</v>
      </c>
      <c r="O58" s="8" t="s">
        <v>224</v>
      </c>
      <c r="P58" s="8" t="s">
        <v>238</v>
      </c>
      <c r="Q58" s="5">
        <v>7.1886618000000002</v>
      </c>
      <c r="R58" s="6">
        <f>Q58*1.042</f>
        <v>7.4905855956000007</v>
      </c>
      <c r="S58" s="7">
        <v>14.3773236</v>
      </c>
      <c r="T58" s="6">
        <f>S58*1.042</f>
        <v>14.981171191200001</v>
      </c>
      <c r="U58" s="6">
        <f>T58*1.042</f>
        <v>15.610380381230401</v>
      </c>
      <c r="V58" s="100">
        <f t="shared" si="17"/>
        <v>59.648122568030402</v>
      </c>
    </row>
    <row r="59" spans="1:34" ht="88.5" customHeight="1" x14ac:dyDescent="0.25">
      <c r="A59" s="98" t="s">
        <v>54</v>
      </c>
      <c r="B59" s="9" t="s">
        <v>260</v>
      </c>
      <c r="C59" s="115" t="s">
        <v>212</v>
      </c>
      <c r="D59" s="8" t="s">
        <v>16</v>
      </c>
      <c r="E59" s="8" t="str">
        <f>P59</f>
        <v>2 МВА 
8,5 км</v>
      </c>
      <c r="F59" s="13">
        <v>2025</v>
      </c>
      <c r="G59" s="13">
        <v>2029</v>
      </c>
      <c r="H59" s="5"/>
      <c r="I59" s="5"/>
      <c r="J59" s="123"/>
      <c r="K59" s="8" t="s">
        <v>226</v>
      </c>
      <c r="L59" s="8" t="s">
        <v>226</v>
      </c>
      <c r="M59" s="8" t="s">
        <v>226</v>
      </c>
      <c r="N59" s="8" t="s">
        <v>226</v>
      </c>
      <c r="O59" s="8" t="s">
        <v>226</v>
      </c>
      <c r="P59" s="8" t="s">
        <v>227</v>
      </c>
      <c r="Q59" s="5">
        <v>7.1886618000000002</v>
      </c>
      <c r="R59" s="6">
        <f>Q59*1.042</f>
        <v>7.4905855956000007</v>
      </c>
      <c r="S59" s="6">
        <f t="shared" ref="S59:U59" si="20">R59*1.042</f>
        <v>7.8051901906152006</v>
      </c>
      <c r="T59" s="6">
        <f t="shared" si="20"/>
        <v>8.13300817862104</v>
      </c>
      <c r="U59" s="6">
        <f t="shared" si="20"/>
        <v>8.4745945221231231</v>
      </c>
      <c r="V59" s="100">
        <f t="shared" si="17"/>
        <v>39.09204028695936</v>
      </c>
    </row>
    <row r="60" spans="1:34" x14ac:dyDescent="0.25">
      <c r="A60" s="102" t="s">
        <v>55</v>
      </c>
      <c r="B60" s="34" t="s">
        <v>56</v>
      </c>
      <c r="C60" s="3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6"/>
      <c r="R60" s="6"/>
      <c r="S60" s="6"/>
      <c r="T60" s="6"/>
      <c r="U60" s="6"/>
      <c r="V60" s="100"/>
    </row>
    <row r="61" spans="1:34" x14ac:dyDescent="0.25">
      <c r="A61" s="99" t="s">
        <v>29</v>
      </c>
      <c r="B61" s="9" t="s">
        <v>27</v>
      </c>
      <c r="C61" s="9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6"/>
      <c r="R61" s="6"/>
      <c r="S61" s="6"/>
      <c r="T61" s="6"/>
      <c r="U61" s="6"/>
      <c r="V61" s="100"/>
    </row>
    <row r="62" spans="1:34" x14ac:dyDescent="0.25">
      <c r="A62" s="99"/>
      <c r="B62" s="9" t="s">
        <v>57</v>
      </c>
      <c r="C62" s="9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6"/>
      <c r="R62" s="6"/>
      <c r="S62" s="6"/>
      <c r="T62" s="6"/>
      <c r="U62" s="6"/>
      <c r="V62" s="100"/>
    </row>
    <row r="63" spans="1:34" x14ac:dyDescent="0.25">
      <c r="A63" s="99" t="s">
        <v>30</v>
      </c>
      <c r="B63" s="9" t="s">
        <v>28</v>
      </c>
      <c r="C63" s="9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6"/>
      <c r="R63" s="6"/>
      <c r="S63" s="6"/>
      <c r="T63" s="6"/>
      <c r="U63" s="6"/>
      <c r="V63" s="100"/>
    </row>
    <row r="64" spans="1:34" x14ac:dyDescent="0.25">
      <c r="A64" s="99"/>
      <c r="B64" s="9" t="s">
        <v>57</v>
      </c>
      <c r="C64" s="9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5"/>
      <c r="R64" s="5"/>
      <c r="S64" s="5"/>
      <c r="T64" s="5"/>
      <c r="U64" s="5"/>
      <c r="V64" s="100"/>
    </row>
    <row r="65" spans="1:22" x14ac:dyDescent="0.25">
      <c r="A65" s="98" t="s">
        <v>24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5"/>
      <c r="R65" s="5"/>
      <c r="S65" s="5"/>
      <c r="T65" s="5"/>
      <c r="U65" s="5"/>
      <c r="V65" s="100"/>
    </row>
    <row r="66" spans="1:22" hidden="1" x14ac:dyDescent="0.25">
      <c r="A66" s="148" t="s">
        <v>58</v>
      </c>
      <c r="B66" s="149"/>
      <c r="C66" s="71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5"/>
      <c r="R66" s="5"/>
      <c r="S66" s="5"/>
      <c r="T66" s="5"/>
      <c r="U66" s="5"/>
      <c r="V66" s="100"/>
    </row>
    <row r="67" spans="1:22" x14ac:dyDescent="0.25">
      <c r="A67" s="99"/>
      <c r="B67" s="34" t="s">
        <v>59</v>
      </c>
      <c r="C67" s="3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27">
        <f>Q68</f>
        <v>33.099156000000001</v>
      </c>
      <c r="R67" s="27"/>
      <c r="S67" s="27"/>
      <c r="T67" s="27"/>
      <c r="U67" s="17"/>
      <c r="V67" s="101">
        <f>V68</f>
        <v>33.099156000000001</v>
      </c>
    </row>
    <row r="68" spans="1:22" ht="32.25" customHeight="1" x14ac:dyDescent="0.25">
      <c r="A68" s="98" t="s">
        <v>29</v>
      </c>
      <c r="B68" s="9" t="s">
        <v>261</v>
      </c>
      <c r="C68" s="9"/>
      <c r="D68" s="8"/>
      <c r="E68" s="8"/>
      <c r="F68" s="8">
        <v>2025</v>
      </c>
      <c r="G68" s="8">
        <v>2025</v>
      </c>
      <c r="H68" s="8"/>
      <c r="I68" s="8"/>
      <c r="J68" s="8"/>
      <c r="K68" s="8"/>
      <c r="L68" s="8"/>
      <c r="M68" s="8"/>
      <c r="N68" s="8"/>
      <c r="O68" s="8"/>
      <c r="P68" s="8"/>
      <c r="Q68" s="5">
        <v>33.099156000000001</v>
      </c>
      <c r="R68" s="5"/>
      <c r="S68" s="5"/>
      <c r="T68" s="5"/>
      <c r="U68" s="5"/>
      <c r="V68" s="100">
        <f>Q68+R68+S68+T68+U68</f>
        <v>33.099156000000001</v>
      </c>
    </row>
    <row r="69" spans="1:22" ht="19.5" thickBot="1" x14ac:dyDescent="0.3">
      <c r="A69" s="103" t="s">
        <v>24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5"/>
      <c r="R69" s="105"/>
      <c r="S69" s="105"/>
      <c r="T69" s="105"/>
      <c r="U69" s="105"/>
      <c r="V69" s="106"/>
    </row>
    <row r="70" spans="1:22" x14ac:dyDescent="0.25">
      <c r="A70" s="40"/>
      <c r="B70" s="28"/>
      <c r="C70" s="28"/>
      <c r="D70" s="28"/>
      <c r="E70" s="28"/>
      <c r="F70" s="28"/>
      <c r="G70" s="18"/>
      <c r="H70" s="18"/>
      <c r="I70" s="18"/>
      <c r="J70" s="18"/>
      <c r="K70" s="18"/>
      <c r="L70" s="18"/>
      <c r="M70" s="18"/>
      <c r="N70" s="18"/>
      <c r="O70" s="18"/>
      <c r="P70" s="29"/>
      <c r="Q70" s="29"/>
      <c r="R70" s="29"/>
      <c r="S70" s="29"/>
      <c r="T70" s="68"/>
      <c r="U70" s="18"/>
      <c r="V70" s="18"/>
    </row>
    <row r="71" spans="1:22" ht="23.25" x14ac:dyDescent="0.35">
      <c r="A71" s="41" t="s">
        <v>61</v>
      </c>
      <c r="B71" s="30" t="s">
        <v>60</v>
      </c>
      <c r="C71" s="30"/>
      <c r="D71" s="30"/>
      <c r="E71" s="30"/>
      <c r="F71" s="30"/>
      <c r="P71" s="31"/>
      <c r="Q71" s="31"/>
      <c r="R71" s="31"/>
      <c r="S71" s="31"/>
      <c r="T71" s="32"/>
    </row>
    <row r="72" spans="1:22" x14ac:dyDescent="0.25">
      <c r="A72" s="41" t="s">
        <v>62</v>
      </c>
      <c r="B72" s="30" t="s">
        <v>64</v>
      </c>
      <c r="C72" s="30"/>
      <c r="D72" s="30"/>
      <c r="E72" s="30"/>
      <c r="F72" s="30"/>
    </row>
    <row r="73" spans="1:22" x14ac:dyDescent="0.25">
      <c r="A73" s="35" t="s">
        <v>63</v>
      </c>
      <c r="B73" s="30" t="s">
        <v>65</v>
      </c>
      <c r="C73" s="30"/>
      <c r="D73" s="30"/>
      <c r="E73" s="30"/>
      <c r="F73" s="30"/>
    </row>
    <row r="74" spans="1:22" x14ac:dyDescent="0.25">
      <c r="A74" s="35" t="s">
        <v>67</v>
      </c>
      <c r="B74" s="30" t="s">
        <v>66</v>
      </c>
      <c r="C74" s="30"/>
      <c r="D74" s="30"/>
      <c r="E74" s="30"/>
      <c r="F74" s="30"/>
    </row>
    <row r="75" spans="1:22" x14ac:dyDescent="0.25">
      <c r="B75" s="30"/>
      <c r="C75" s="30"/>
      <c r="D75" s="30"/>
      <c r="E75" s="30"/>
      <c r="F75" s="30"/>
    </row>
    <row r="76" spans="1:22" x14ac:dyDescent="0.25">
      <c r="B76" s="30" t="s">
        <v>161</v>
      </c>
      <c r="C76" s="30"/>
      <c r="D76" s="30"/>
      <c r="E76" s="30"/>
      <c r="F76" s="30"/>
    </row>
  </sheetData>
  <mergeCells count="26">
    <mergeCell ref="W14:X14"/>
    <mergeCell ref="Y14:Z14"/>
    <mergeCell ref="AA13:AB13"/>
    <mergeCell ref="A66:B66"/>
    <mergeCell ref="T7:V7"/>
    <mergeCell ref="P8:V8"/>
    <mergeCell ref="A10:U10"/>
    <mergeCell ref="A11:U11"/>
    <mergeCell ref="A13:A14"/>
    <mergeCell ref="B13:B14"/>
    <mergeCell ref="D13:D14"/>
    <mergeCell ref="E13:E14"/>
    <mergeCell ref="F13:F14"/>
    <mergeCell ref="G13:G14"/>
    <mergeCell ref="H13:H14"/>
    <mergeCell ref="I13:I14"/>
    <mergeCell ref="J13:J14"/>
    <mergeCell ref="K13:P13"/>
    <mergeCell ref="Q13:V13"/>
    <mergeCell ref="C13:C14"/>
    <mergeCell ref="T6:V6"/>
    <mergeCell ref="T1:V1"/>
    <mergeCell ref="T2:V2"/>
    <mergeCell ref="T3:V3"/>
    <mergeCell ref="T4:V4"/>
    <mergeCell ref="T5:V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48" fitToHeight="0" orientation="landscape" verticalDpi="180" r:id="rId1"/>
  <rowBreaks count="1" manualBreakCount="1">
    <brk id="35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L79"/>
  <sheetViews>
    <sheetView topLeftCell="A13" zoomScale="60" zoomScaleNormal="60" zoomScaleSheetLayoutView="50" workbookViewId="0">
      <selection activeCell="B46" sqref="B46"/>
    </sheetView>
  </sheetViews>
  <sheetFormatPr defaultRowHeight="15.75" x14ac:dyDescent="0.25"/>
  <cols>
    <col min="1" max="1" width="15" style="35" customWidth="1"/>
    <col min="2" max="2" width="46.5703125" style="4" customWidth="1"/>
    <col min="3" max="3" width="13.140625" style="4" customWidth="1"/>
    <col min="4" max="8" width="7.7109375" style="4" bestFit="1" customWidth="1"/>
    <col min="9" max="9" width="8.85546875" style="4" bestFit="1" customWidth="1"/>
    <col min="10" max="14" width="7.7109375" style="4" bestFit="1" customWidth="1"/>
    <col min="15" max="15" width="8.85546875" style="4" bestFit="1" customWidth="1"/>
    <col min="16" max="16" width="13.42578125" style="4" customWidth="1"/>
    <col min="17" max="20" width="5.42578125" style="4" customWidth="1"/>
    <col min="21" max="21" width="13.28515625" style="4" customWidth="1"/>
    <col min="22" max="23" width="13.85546875" style="4" customWidth="1"/>
    <col min="24" max="24" width="14.140625" style="4" customWidth="1"/>
    <col min="25" max="25" width="14.5703125" style="30" customWidth="1"/>
    <col min="26" max="26" width="15" style="30" customWidth="1"/>
    <col min="27" max="28" width="5.7109375" style="30" customWidth="1"/>
    <col min="29" max="30" width="5.7109375" style="46" customWidth="1"/>
    <col min="31" max="31" width="10.7109375" style="46" customWidth="1"/>
    <col min="32" max="32" width="13.85546875" style="46" customWidth="1"/>
    <col min="33" max="35" width="13.85546875" style="4" customWidth="1"/>
    <col min="36" max="36" width="16" style="4" customWidth="1"/>
  </cols>
  <sheetData>
    <row r="1" spans="1:37" ht="45.75" customHeight="1" x14ac:dyDescent="0.25">
      <c r="W1" s="45"/>
      <c r="X1" s="45"/>
      <c r="AF1" s="4"/>
      <c r="AH1" s="139" t="s">
        <v>68</v>
      </c>
      <c r="AI1" s="139"/>
      <c r="AJ1" s="139"/>
    </row>
    <row r="2" spans="1:37" ht="18.75" x14ac:dyDescent="0.3">
      <c r="W2" s="47"/>
      <c r="X2" s="47"/>
      <c r="AF2" s="4"/>
      <c r="AH2" s="140" t="s">
        <v>12</v>
      </c>
      <c r="AI2" s="140"/>
      <c r="AJ2" s="140"/>
    </row>
    <row r="3" spans="1:37" ht="18.75" x14ac:dyDescent="0.3">
      <c r="W3" s="47"/>
      <c r="X3" s="47"/>
      <c r="AF3" s="4"/>
      <c r="AH3" s="140" t="s">
        <v>168</v>
      </c>
      <c r="AI3" s="140"/>
      <c r="AJ3" s="140"/>
    </row>
    <row r="4" spans="1:37" ht="18.75" customHeight="1" x14ac:dyDescent="0.25">
      <c r="W4" s="48"/>
      <c r="X4" s="48"/>
      <c r="AF4" s="4"/>
      <c r="AH4" s="141" t="s">
        <v>88</v>
      </c>
      <c r="AI4" s="141"/>
      <c r="AJ4" s="141"/>
    </row>
    <row r="5" spans="1:37" ht="18.75" x14ac:dyDescent="0.25">
      <c r="W5" s="18"/>
      <c r="X5" s="18"/>
      <c r="AF5" s="4"/>
      <c r="AH5" s="87" t="s">
        <v>169</v>
      </c>
      <c r="AI5" s="87"/>
      <c r="AJ5" s="87"/>
      <c r="AK5" s="87"/>
    </row>
    <row r="6" spans="1:37" ht="18.75" x14ac:dyDescent="0.3">
      <c r="AF6" s="4"/>
      <c r="AH6" s="21"/>
      <c r="AI6" s="21"/>
      <c r="AJ6" s="21"/>
    </row>
    <row r="7" spans="1:37" ht="18.75" x14ac:dyDescent="0.25">
      <c r="W7" s="49"/>
      <c r="X7" s="49"/>
      <c r="AF7" s="4"/>
      <c r="AH7" s="150" t="s">
        <v>13</v>
      </c>
      <c r="AI7" s="150"/>
      <c r="AJ7" s="165"/>
    </row>
    <row r="8" spans="1:37" ht="18.75" x14ac:dyDescent="0.3">
      <c r="W8" s="50"/>
      <c r="X8" s="50"/>
      <c r="AF8" s="28"/>
      <c r="AG8" s="163" t="s">
        <v>181</v>
      </c>
      <c r="AH8" s="163"/>
      <c r="AI8" s="163"/>
      <c r="AJ8" s="163"/>
    </row>
    <row r="9" spans="1:37" ht="18.75" x14ac:dyDescent="0.3">
      <c r="W9" s="51"/>
      <c r="X9" s="51"/>
      <c r="AF9" s="4"/>
      <c r="AH9" s="21"/>
      <c r="AI9" s="21"/>
      <c r="AJ9" s="52" t="s">
        <v>14</v>
      </c>
    </row>
    <row r="10" spans="1:37" ht="22.5" x14ac:dyDescent="0.25">
      <c r="A10" s="152" t="s">
        <v>103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7" ht="22.5" x14ac:dyDescent="0.25">
      <c r="A11" s="152" t="s">
        <v>215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7" x14ac:dyDescent="0.25"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37" ht="54" customHeight="1" x14ac:dyDescent="0.25">
      <c r="A13" s="156" t="s">
        <v>0</v>
      </c>
      <c r="B13" s="156" t="s">
        <v>69</v>
      </c>
      <c r="C13" s="159" t="s">
        <v>173</v>
      </c>
      <c r="D13" s="166" t="s">
        <v>70</v>
      </c>
      <c r="E13" s="167"/>
      <c r="F13" s="167"/>
      <c r="G13" s="167"/>
      <c r="H13" s="167"/>
      <c r="I13" s="167"/>
      <c r="J13" s="144" t="s">
        <v>73</v>
      </c>
      <c r="K13" s="144"/>
      <c r="L13" s="144"/>
      <c r="M13" s="144"/>
      <c r="N13" s="144"/>
      <c r="O13" s="144"/>
      <c r="P13" s="159" t="s">
        <v>102</v>
      </c>
      <c r="Q13" s="144" t="s">
        <v>75</v>
      </c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</row>
    <row r="14" spans="1:37" ht="83.45" customHeight="1" x14ac:dyDescent="0.25">
      <c r="A14" s="157"/>
      <c r="B14" s="157"/>
      <c r="C14" s="160"/>
      <c r="D14" s="168"/>
      <c r="E14" s="169"/>
      <c r="F14" s="169"/>
      <c r="G14" s="169"/>
      <c r="H14" s="169"/>
      <c r="I14" s="169"/>
      <c r="J14" s="144"/>
      <c r="K14" s="144"/>
      <c r="L14" s="144"/>
      <c r="M14" s="144"/>
      <c r="N14" s="144"/>
      <c r="O14" s="144"/>
      <c r="P14" s="160"/>
      <c r="Q14" s="144" t="s">
        <v>214</v>
      </c>
      <c r="R14" s="144"/>
      <c r="S14" s="144"/>
      <c r="T14" s="144"/>
      <c r="U14" s="144"/>
      <c r="V14" s="144" t="s">
        <v>216</v>
      </c>
      <c r="W14" s="144" t="s">
        <v>217</v>
      </c>
      <c r="X14" s="144" t="s">
        <v>218</v>
      </c>
      <c r="Y14" s="144" t="s">
        <v>219</v>
      </c>
      <c r="Z14" s="162" t="s">
        <v>72</v>
      </c>
      <c r="AA14" s="144" t="s">
        <v>214</v>
      </c>
      <c r="AB14" s="144"/>
      <c r="AC14" s="144"/>
      <c r="AD14" s="144"/>
      <c r="AE14" s="144"/>
      <c r="AF14" s="144" t="s">
        <v>216</v>
      </c>
      <c r="AG14" s="144" t="s">
        <v>217</v>
      </c>
      <c r="AH14" s="144" t="s">
        <v>218</v>
      </c>
      <c r="AI14" s="144" t="s">
        <v>219</v>
      </c>
      <c r="AJ14" s="164" t="s">
        <v>72</v>
      </c>
    </row>
    <row r="15" spans="1:37" ht="64.150000000000006" customHeight="1" x14ac:dyDescent="0.25">
      <c r="A15" s="158"/>
      <c r="B15" s="158"/>
      <c r="C15" s="161"/>
      <c r="D15" s="144" t="s">
        <v>71</v>
      </c>
      <c r="E15" s="144"/>
      <c r="F15" s="144"/>
      <c r="G15" s="144"/>
      <c r="H15" s="144"/>
      <c r="I15" s="155"/>
      <c r="J15" s="144" t="s">
        <v>71</v>
      </c>
      <c r="K15" s="144"/>
      <c r="L15" s="144"/>
      <c r="M15" s="144"/>
      <c r="N15" s="144"/>
      <c r="O15" s="144"/>
      <c r="P15" s="161"/>
      <c r="Q15" s="34" t="s">
        <v>76</v>
      </c>
      <c r="R15" s="34" t="s">
        <v>77</v>
      </c>
      <c r="S15" s="34" t="s">
        <v>78</v>
      </c>
      <c r="T15" s="34" t="s">
        <v>79</v>
      </c>
      <c r="U15" s="36" t="s">
        <v>72</v>
      </c>
      <c r="V15" s="144"/>
      <c r="W15" s="144"/>
      <c r="X15" s="144"/>
      <c r="Y15" s="144"/>
      <c r="Z15" s="162"/>
      <c r="AA15" s="34" t="s">
        <v>76</v>
      </c>
      <c r="AB15" s="34" t="s">
        <v>77</v>
      </c>
      <c r="AC15" s="34" t="s">
        <v>78</v>
      </c>
      <c r="AD15" s="34" t="s">
        <v>79</v>
      </c>
      <c r="AE15" s="36" t="s">
        <v>72</v>
      </c>
      <c r="AF15" s="144"/>
      <c r="AG15" s="144"/>
      <c r="AH15" s="144"/>
      <c r="AI15" s="144"/>
      <c r="AJ15" s="164"/>
    </row>
    <row r="16" spans="1:37" ht="32.450000000000003" customHeight="1" x14ac:dyDescent="0.25">
      <c r="A16" s="69"/>
      <c r="B16" s="69"/>
      <c r="C16" s="69"/>
      <c r="D16" s="36">
        <v>2020</v>
      </c>
      <c r="E16" s="36">
        <f>D16+1</f>
        <v>2021</v>
      </c>
      <c r="F16" s="36">
        <f t="shared" ref="F16:H16" si="0">E16+1</f>
        <v>2022</v>
      </c>
      <c r="G16" s="36">
        <f t="shared" si="0"/>
        <v>2023</v>
      </c>
      <c r="H16" s="36">
        <f t="shared" si="0"/>
        <v>2024</v>
      </c>
      <c r="I16" s="53" t="s">
        <v>72</v>
      </c>
      <c r="J16" s="36">
        <v>2020</v>
      </c>
      <c r="K16" s="36">
        <f>J16+1</f>
        <v>2021</v>
      </c>
      <c r="L16" s="36">
        <f t="shared" ref="L16:N16" si="1">K16+1</f>
        <v>2022</v>
      </c>
      <c r="M16" s="36">
        <f t="shared" si="1"/>
        <v>2023</v>
      </c>
      <c r="N16" s="36">
        <f t="shared" si="1"/>
        <v>2024</v>
      </c>
      <c r="O16" s="36" t="s">
        <v>72</v>
      </c>
      <c r="P16" s="36" t="s">
        <v>74</v>
      </c>
      <c r="Q16" s="162" t="s">
        <v>80</v>
      </c>
      <c r="R16" s="162"/>
      <c r="S16" s="162"/>
      <c r="T16" s="162"/>
      <c r="U16" s="162"/>
      <c r="V16" s="162"/>
      <c r="W16" s="162"/>
      <c r="X16" s="162"/>
      <c r="Y16" s="162"/>
      <c r="Z16" s="162"/>
      <c r="AA16" s="162" t="s">
        <v>74</v>
      </c>
      <c r="AB16" s="162"/>
      <c r="AC16" s="162"/>
      <c r="AD16" s="162"/>
      <c r="AE16" s="162"/>
      <c r="AF16" s="162"/>
      <c r="AG16" s="162"/>
      <c r="AH16" s="162"/>
      <c r="AI16" s="162"/>
      <c r="AJ16" s="162"/>
    </row>
    <row r="17" spans="1:36" ht="33" customHeight="1" x14ac:dyDescent="0.25">
      <c r="A17" s="13">
        <v>1</v>
      </c>
      <c r="B17" s="13">
        <f>A17+1</f>
        <v>2</v>
      </c>
      <c r="C17" s="13">
        <f>B17+1</f>
        <v>3</v>
      </c>
      <c r="D17" s="13">
        <f t="shared" ref="D17:E17" si="2">C17+1</f>
        <v>4</v>
      </c>
      <c r="E17" s="13">
        <f t="shared" si="2"/>
        <v>5</v>
      </c>
      <c r="F17" s="13">
        <f t="shared" ref="F17:AJ17" si="3">E17+1</f>
        <v>6</v>
      </c>
      <c r="G17" s="13">
        <f t="shared" si="3"/>
        <v>7</v>
      </c>
      <c r="H17" s="13">
        <f t="shared" si="3"/>
        <v>8</v>
      </c>
      <c r="I17" s="54">
        <f t="shared" si="3"/>
        <v>9</v>
      </c>
      <c r="J17" s="13">
        <f t="shared" si="3"/>
        <v>10</v>
      </c>
      <c r="K17" s="13">
        <f t="shared" si="3"/>
        <v>11</v>
      </c>
      <c r="L17" s="13">
        <f t="shared" si="3"/>
        <v>12</v>
      </c>
      <c r="M17" s="13">
        <f t="shared" si="3"/>
        <v>13</v>
      </c>
      <c r="N17" s="13">
        <f t="shared" si="3"/>
        <v>14</v>
      </c>
      <c r="O17" s="13">
        <f t="shared" si="3"/>
        <v>15</v>
      </c>
      <c r="P17" s="13">
        <f t="shared" si="3"/>
        <v>16</v>
      </c>
      <c r="Q17" s="13">
        <f t="shared" si="3"/>
        <v>17</v>
      </c>
      <c r="R17" s="13">
        <f t="shared" si="3"/>
        <v>18</v>
      </c>
      <c r="S17" s="13">
        <f t="shared" si="3"/>
        <v>19</v>
      </c>
      <c r="T17" s="13">
        <f t="shared" si="3"/>
        <v>20</v>
      </c>
      <c r="U17" s="13">
        <f t="shared" si="3"/>
        <v>21</v>
      </c>
      <c r="V17" s="13">
        <f t="shared" si="3"/>
        <v>22</v>
      </c>
      <c r="W17" s="13">
        <f>V17+1</f>
        <v>23</v>
      </c>
      <c r="X17" s="13">
        <f t="shared" si="3"/>
        <v>24</v>
      </c>
      <c r="Y17" s="13">
        <f t="shared" si="3"/>
        <v>25</v>
      </c>
      <c r="Z17" s="13">
        <f t="shared" si="3"/>
        <v>26</v>
      </c>
      <c r="AA17" s="13">
        <f t="shared" si="3"/>
        <v>27</v>
      </c>
      <c r="AB17" s="13">
        <f t="shared" si="3"/>
        <v>28</v>
      </c>
      <c r="AC17" s="13">
        <f t="shared" si="3"/>
        <v>29</v>
      </c>
      <c r="AD17" s="13">
        <f t="shared" si="3"/>
        <v>30</v>
      </c>
      <c r="AE17" s="13">
        <f t="shared" si="3"/>
        <v>31</v>
      </c>
      <c r="AF17" s="13">
        <f t="shared" si="3"/>
        <v>32</v>
      </c>
      <c r="AG17" s="13">
        <f>AF17+1</f>
        <v>33</v>
      </c>
      <c r="AH17" s="13">
        <f t="shared" si="3"/>
        <v>34</v>
      </c>
      <c r="AI17" s="13">
        <f t="shared" si="3"/>
        <v>35</v>
      </c>
      <c r="AJ17" s="13">
        <f t="shared" si="3"/>
        <v>36</v>
      </c>
    </row>
    <row r="18" spans="1:36" ht="62.25" customHeight="1" x14ac:dyDescent="0.25">
      <c r="A18" s="13"/>
      <c r="B18" s="36" t="s">
        <v>7</v>
      </c>
      <c r="C18" s="36"/>
      <c r="D18" s="7"/>
      <c r="E18" s="17"/>
      <c r="F18" s="7"/>
      <c r="G18" s="7"/>
      <c r="H18" s="17"/>
      <c r="I18" s="55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27" t="str">
        <f>'П.1.1 '!K16</f>
        <v>20,3 МВА
60,15 км</v>
      </c>
      <c r="V18" s="27" t="str">
        <f>'П.1.1 '!L16</f>
        <v>52,3 МВА 
34,8 км</v>
      </c>
      <c r="W18" s="27" t="str">
        <f>'П.1.1 '!M16</f>
        <v>26,5 МВА  
43 км</v>
      </c>
      <c r="X18" s="27" t="str">
        <f>'П.1.1 '!N16</f>
        <v>13,9 МВА 
42,2 км</v>
      </c>
      <c r="Y18" s="27" t="str">
        <f>'П.1.1 '!O16</f>
        <v>95,9 МВА
48,9 км</v>
      </c>
      <c r="Z18" s="27" t="str">
        <f>'П.1.1 '!P16</f>
        <v>208,9 МВА  
229 км</v>
      </c>
      <c r="AA18" s="17"/>
      <c r="AB18" s="17"/>
      <c r="AC18" s="17"/>
      <c r="AD18" s="17"/>
      <c r="AE18" s="17">
        <f>AE19+AE48+AE70</f>
        <v>636.9653916876</v>
      </c>
      <c r="AF18" s="17">
        <f t="shared" ref="AF18:AI18" si="4">AF19+AF48+AF70</f>
        <v>649.29272139348802</v>
      </c>
      <c r="AG18" s="17">
        <f t="shared" si="4"/>
        <v>677.10136180375764</v>
      </c>
      <c r="AH18" s="17">
        <f t="shared" si="4"/>
        <v>706.0421032769267</v>
      </c>
      <c r="AI18" s="17">
        <f t="shared" si="4"/>
        <v>749.92094680968114</v>
      </c>
      <c r="AJ18" s="27">
        <f>SUM(AE18:AI18)</f>
        <v>3419.3225249714537</v>
      </c>
    </row>
    <row r="19" spans="1:36" ht="57" customHeight="1" x14ac:dyDescent="0.25">
      <c r="A19" s="13">
        <v>1</v>
      </c>
      <c r="B19" s="34" t="s">
        <v>8</v>
      </c>
      <c r="C19" s="34"/>
      <c r="D19" s="7"/>
      <c r="E19" s="7"/>
      <c r="F19" s="7"/>
      <c r="G19" s="7"/>
      <c r="H19" s="17"/>
      <c r="I19" s="55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27" t="str">
        <f>U20</f>
        <v>15,04 МВА 
12,9 км</v>
      </c>
      <c r="V19" s="27" t="str">
        <f t="shared" ref="V19:Z19" si="5">V20</f>
        <v>47,4 МВА 
12,9 км</v>
      </c>
      <c r="W19" s="27" t="str">
        <f t="shared" si="5"/>
        <v>7,04 МВА  
12,9 км</v>
      </c>
      <c r="X19" s="27" t="str">
        <f t="shared" si="5"/>
        <v>7,04 МВА 
12,9 км</v>
      </c>
      <c r="Y19" s="27" t="str">
        <f t="shared" si="5"/>
        <v>89,04 МВА 
12,9 км</v>
      </c>
      <c r="Z19" s="27" t="str">
        <f t="shared" si="5"/>
        <v>165,2 МВА 
64,5 км</v>
      </c>
      <c r="AA19" s="17"/>
      <c r="AB19" s="17"/>
      <c r="AC19" s="17"/>
      <c r="AD19" s="17"/>
      <c r="AE19" s="17">
        <f>AE20+AE43</f>
        <v>270.01452162999999</v>
      </c>
      <c r="AF19" s="17">
        <f t="shared" ref="AF19:AI19" si="6">AF20+AF43</f>
        <v>277.55166856599999</v>
      </c>
      <c r="AG19" s="17">
        <f t="shared" si="6"/>
        <v>233.61288315626268</v>
      </c>
      <c r="AH19" s="17">
        <f t="shared" si="6"/>
        <v>535.2188889535546</v>
      </c>
      <c r="AI19" s="17">
        <f t="shared" si="6"/>
        <v>495.83575340472737</v>
      </c>
      <c r="AJ19" s="27">
        <f>SUM(AE19:AI19)</f>
        <v>1812.2337157105444</v>
      </c>
    </row>
    <row r="20" spans="1:36" ht="66.599999999999994" customHeight="1" x14ac:dyDescent="0.25">
      <c r="A20" s="12" t="s">
        <v>10</v>
      </c>
      <c r="B20" s="34" t="s">
        <v>9</v>
      </c>
      <c r="C20" s="34"/>
      <c r="D20" s="7"/>
      <c r="E20" s="17"/>
      <c r="F20" s="7"/>
      <c r="G20" s="7"/>
      <c r="H20" s="17"/>
      <c r="I20" s="55"/>
      <c r="J20" s="17"/>
      <c r="K20" s="7"/>
      <c r="L20" s="7"/>
      <c r="M20" s="7"/>
      <c r="N20" s="7"/>
      <c r="O20" s="7"/>
      <c r="P20" s="17"/>
      <c r="Q20" s="17"/>
      <c r="R20" s="17"/>
      <c r="S20" s="17"/>
      <c r="T20" s="17"/>
      <c r="U20" s="27" t="str">
        <f>'П.1.1 '!K18</f>
        <v>15,04 МВА 
12,9 км</v>
      </c>
      <c r="V20" s="27" t="str">
        <f>'П.1.1 '!L18</f>
        <v>47,4 МВА 
12,9 км</v>
      </c>
      <c r="W20" s="27" t="str">
        <f>'П.1.1 '!M18</f>
        <v>7,04 МВА  
12,9 км</v>
      </c>
      <c r="X20" s="27" t="str">
        <f>'П.1.1 '!N18</f>
        <v>7,04 МВА 
12,9 км</v>
      </c>
      <c r="Y20" s="27" t="str">
        <f>'П.1.1 '!O18</f>
        <v>89,04 МВА 
12,9 км</v>
      </c>
      <c r="Z20" s="27" t="str">
        <f>'П.1.1 '!P18</f>
        <v>165,2 МВА 
64,5 км</v>
      </c>
      <c r="AA20" s="17"/>
      <c r="AB20" s="17"/>
      <c r="AC20" s="17"/>
      <c r="AD20" s="17"/>
      <c r="AE20" s="17">
        <f>SUM(AE21:AE29)</f>
        <v>174.27899026</v>
      </c>
      <c r="AF20" s="17">
        <f t="shared" ref="AF20:AI20" si="7">SUM(AF21:AF29)</f>
        <v>184.468531918</v>
      </c>
      <c r="AG20" s="17">
        <f t="shared" si="7"/>
        <v>144.50353318191603</v>
      </c>
      <c r="AH20" s="17">
        <f t="shared" si="7"/>
        <v>446.28134367301914</v>
      </c>
      <c r="AI20" s="17">
        <f t="shared" si="7"/>
        <v>403.65323517339368</v>
      </c>
      <c r="AJ20" s="27">
        <f>SUM(AE20:AI20)</f>
        <v>1353.1856342063288</v>
      </c>
    </row>
    <row r="21" spans="1:36" s="1" customFormat="1" ht="158.25" customHeight="1" x14ac:dyDescent="0.25">
      <c r="A21" s="12" t="str">
        <f>'П.1.1 '!A19</f>
        <v>1.1.1</v>
      </c>
      <c r="B21" s="9" t="str">
        <f>'П.1.1 '!B19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1" s="8" t="str">
        <f>'П.1.1 '!C19</f>
        <v>O_1.1.1</v>
      </c>
      <c r="D21" s="5"/>
      <c r="E21" s="5"/>
      <c r="F21" s="5"/>
      <c r="G21" s="5"/>
      <c r="H21" s="5"/>
      <c r="I21" s="33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8" t="str">
        <f>'П.1.1 '!K19</f>
        <v>5,04 МВА 
5,4 км</v>
      </c>
      <c r="V21" s="8" t="str">
        <f>'П.1.1 '!L19</f>
        <v>5,04 МВА 
5,4 км</v>
      </c>
      <c r="W21" s="8" t="str">
        <f>'П.1.1 '!M19</f>
        <v>5,04 МВА 
5,4 км</v>
      </c>
      <c r="X21" s="8" t="str">
        <f>'П.1.1 '!N19</f>
        <v>5,04 МВА 
5,4 км</v>
      </c>
      <c r="Y21" s="8" t="str">
        <f>'П.1.1 '!O19</f>
        <v>5,04 МВА 
5,4 км</v>
      </c>
      <c r="Z21" s="8" t="str">
        <f>'П.1.1 '!P19</f>
        <v>25,2 МВА 
27 км</v>
      </c>
      <c r="AA21" s="5"/>
      <c r="AB21" s="5"/>
      <c r="AC21" s="5"/>
      <c r="AD21" s="5"/>
      <c r="AE21" s="6">
        <f>'П.1.1 '!Q19</f>
        <v>55.775312</v>
      </c>
      <c r="AF21" s="6">
        <f>'П.1.1 '!R19</f>
        <v>58.117875103999999</v>
      </c>
      <c r="AG21" s="6">
        <f>'П.1.1 '!S19</f>
        <v>60.558825858368003</v>
      </c>
      <c r="AH21" s="6">
        <f>'П.1.1 '!T19</f>
        <v>63.10229654441946</v>
      </c>
      <c r="AI21" s="6">
        <f>'П.1.1 '!U19</f>
        <v>65.752592999285085</v>
      </c>
      <c r="AJ21" s="6">
        <f>SUM(AE21:AI21)</f>
        <v>303.30690250607256</v>
      </c>
    </row>
    <row r="22" spans="1:36" s="75" customFormat="1" ht="158.25" customHeight="1" x14ac:dyDescent="0.25">
      <c r="A22" s="12" t="str">
        <f>'П.1.1 '!A20</f>
        <v>1.1.2</v>
      </c>
      <c r="B22" s="9" t="str">
        <f>'П.1.1 '!B20</f>
        <v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2" s="8" t="str">
        <f>'П.1.1 '!C20</f>
        <v>O_1.1.2</v>
      </c>
      <c r="D22" s="65"/>
      <c r="E22" s="65"/>
      <c r="F22" s="65"/>
      <c r="G22" s="65"/>
      <c r="H22" s="65"/>
      <c r="I22" s="74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8" t="str">
        <f>'П.1.1 '!K20</f>
        <v>0,8 МВА 
3,4 км</v>
      </c>
      <c r="V22" s="8" t="str">
        <f>'П.1.1 '!L20</f>
        <v>0,8 МВА 
3,4 км</v>
      </c>
      <c r="W22" s="8" t="str">
        <f>'П.1.1 '!M20</f>
        <v>0,8 МВА 
3,4 км</v>
      </c>
      <c r="X22" s="8" t="str">
        <f>'П.1.1 '!N20</f>
        <v>0,8 МВА 
3,4 км</v>
      </c>
      <c r="Y22" s="8" t="str">
        <f>'П.1.1 '!O20</f>
        <v>0,8 МВА 
3,4 км</v>
      </c>
      <c r="Z22" s="8" t="str">
        <f>'П.1.1 '!P20</f>
        <v>4 МВА 
17 км</v>
      </c>
      <c r="AA22" s="65"/>
      <c r="AB22" s="65"/>
      <c r="AC22" s="65"/>
      <c r="AD22" s="65"/>
      <c r="AE22" s="6">
        <f>'П.1.1 '!Q20</f>
        <v>14.3773236</v>
      </c>
      <c r="AF22" s="6">
        <f>'П.1.1 '!R20</f>
        <v>14.981171191200001</v>
      </c>
      <c r="AG22" s="6">
        <f>'П.1.1 '!S20</f>
        <v>15.610380381230401</v>
      </c>
      <c r="AH22" s="6">
        <f>'П.1.1 '!T20</f>
        <v>16.26601635724208</v>
      </c>
      <c r="AI22" s="6">
        <f>'П.1.1 '!U20</f>
        <v>16.949189044246246</v>
      </c>
      <c r="AJ22" s="6">
        <f t="shared" ref="AJ22:AJ29" si="8">SUM(AE22:AI22)</f>
        <v>78.18408057391872</v>
      </c>
    </row>
    <row r="23" spans="1:36" s="75" customFormat="1" ht="158.25" customHeight="1" x14ac:dyDescent="0.25">
      <c r="A23" s="12" t="str">
        <f>'П.1.1 '!A21</f>
        <v>1.1.3</v>
      </c>
      <c r="B23" s="9" t="str">
        <f>'П.1.1 '!B21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3" s="8" t="str">
        <f>'П.1.1 '!C21</f>
        <v>O_1.1.3</v>
      </c>
      <c r="D23" s="65"/>
      <c r="E23" s="65"/>
      <c r="F23" s="65"/>
      <c r="G23" s="65"/>
      <c r="H23" s="65"/>
      <c r="I23" s="74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8" t="str">
        <f>'П.1.1 '!K21</f>
        <v>0,4 МВА 
1,7 км</v>
      </c>
      <c r="V23" s="8" t="str">
        <f>'П.1.1 '!L21</f>
        <v>0,4 МВА 
1,7 км</v>
      </c>
      <c r="W23" s="8" t="str">
        <f>'П.1.1 '!M21</f>
        <v>0,4 МВА 
1,7 км</v>
      </c>
      <c r="X23" s="8" t="str">
        <f>'П.1.1 '!N21</f>
        <v>0,4 МВА 
1,7 км</v>
      </c>
      <c r="Y23" s="8" t="str">
        <f>'П.1.1 '!O21</f>
        <v>0,4 МВА 
1,7 км</v>
      </c>
      <c r="Z23" s="8" t="str">
        <f>'П.1.1 '!P21</f>
        <v>2 МВА 
8,5 км</v>
      </c>
      <c r="AA23" s="65"/>
      <c r="AB23" s="65"/>
      <c r="AC23" s="65"/>
      <c r="AD23" s="65"/>
      <c r="AE23" s="6">
        <f>'П.1.1 '!Q21</f>
        <v>7.1886618000000002</v>
      </c>
      <c r="AF23" s="6">
        <f>'П.1.1 '!R21</f>
        <v>7.4905855956000007</v>
      </c>
      <c r="AG23" s="6">
        <f>'П.1.1 '!S21</f>
        <v>7.8051901906152006</v>
      </c>
      <c r="AH23" s="6">
        <f>'П.1.1 '!T21</f>
        <v>8.13300817862104</v>
      </c>
      <c r="AI23" s="6">
        <f>'П.1.1 '!U21</f>
        <v>8.4745945221231231</v>
      </c>
      <c r="AJ23" s="6">
        <f t="shared" si="8"/>
        <v>39.09204028695936</v>
      </c>
    </row>
    <row r="24" spans="1:36" s="75" customFormat="1" ht="158.25" customHeight="1" x14ac:dyDescent="0.25">
      <c r="A24" s="12" t="str">
        <f>'П.1.1 '!A22</f>
        <v>1.1.4</v>
      </c>
      <c r="B24" s="9" t="str">
        <f>'П.1.1 '!B22</f>
        <v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4" s="8" t="str">
        <f>'П.1.1 '!C22</f>
        <v>O_1.1.4</v>
      </c>
      <c r="D24" s="65"/>
      <c r="E24" s="65"/>
      <c r="F24" s="65"/>
      <c r="G24" s="65"/>
      <c r="H24" s="65"/>
      <c r="I24" s="74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8" t="str">
        <f>'П.1.1 '!K22</f>
        <v>0,4 МВА 
2,2 км</v>
      </c>
      <c r="V24" s="8" t="str">
        <f>'П.1.1 '!L22</f>
        <v>0,4 МВА 
2,2 км</v>
      </c>
      <c r="W24" s="8" t="str">
        <f>'П.1.1 '!M22</f>
        <v>0,4 МВА 
2,2 км</v>
      </c>
      <c r="X24" s="8" t="str">
        <f>'П.1.1 '!N22</f>
        <v>0,4 МВА 
2,2 км</v>
      </c>
      <c r="Y24" s="8" t="str">
        <f>'П.1.1 '!O22</f>
        <v>0,4 МВА 
2,2 км</v>
      </c>
      <c r="Z24" s="8" t="str">
        <f>'П.1.1 '!P22</f>
        <v>2 МВА 
11 км</v>
      </c>
      <c r="AA24" s="65"/>
      <c r="AB24" s="65"/>
      <c r="AC24" s="65"/>
      <c r="AD24" s="65"/>
      <c r="AE24" s="6">
        <f>'П.1.1 '!Q22</f>
        <v>12.2917618</v>
      </c>
      <c r="AF24" s="6">
        <f>'П.1.1 '!R22</f>
        <v>12.808015795599999</v>
      </c>
      <c r="AG24" s="6">
        <f>'П.1.1 '!S22</f>
        <v>13.3459524590152</v>
      </c>
      <c r="AH24" s="6">
        <f>'П.1.1 '!T22</f>
        <v>13.906482462293839</v>
      </c>
      <c r="AI24" s="6">
        <f>'П.1.1 '!U22</f>
        <v>14.490554725710181</v>
      </c>
      <c r="AJ24" s="6">
        <f t="shared" si="8"/>
        <v>66.842767242619217</v>
      </c>
    </row>
    <row r="25" spans="1:36" ht="173.25" customHeight="1" x14ac:dyDescent="0.25">
      <c r="A25" s="12" t="str">
        <f>'П.1.1 '!A23</f>
        <v>1.1.5</v>
      </c>
      <c r="B25" s="9" t="str">
        <f>'П.1.1 '!B23</f>
        <v>Реконструкция ПС 35/10 кВ "Кургат" в п.Прибрежный Братского района</v>
      </c>
      <c r="C25" s="8" t="str">
        <f>'П.1.1 '!C23</f>
        <v>М_1.1-5</v>
      </c>
      <c r="D25" s="5"/>
      <c r="E25" s="5"/>
      <c r="F25" s="5"/>
      <c r="G25" s="5"/>
      <c r="H25" s="5"/>
      <c r="I25" s="33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8" t="str">
        <f>'П.1.1 '!K23</f>
        <v>8 МВА</v>
      </c>
      <c r="V25" s="8">
        <f>'П.1.1 '!L23</f>
        <v>0</v>
      </c>
      <c r="W25" s="8">
        <f>'П.1.1 '!M23</f>
        <v>0</v>
      </c>
      <c r="X25" s="8">
        <f>'П.1.1 '!N23</f>
        <v>0</v>
      </c>
      <c r="Y25" s="8">
        <f>'П.1.1 '!O23</f>
        <v>0</v>
      </c>
      <c r="Z25" s="8" t="str">
        <f>'П.1.1 '!P23</f>
        <v>8 МВА</v>
      </c>
      <c r="AA25" s="5"/>
      <c r="AB25" s="5"/>
      <c r="AC25" s="27"/>
      <c r="AD25" s="5"/>
      <c r="AE25" s="6">
        <f>'П.1.1 '!Q23</f>
        <v>42.870111259999995</v>
      </c>
      <c r="AF25" s="6">
        <f>'П.1.1 '!R23</f>
        <v>0</v>
      </c>
      <c r="AG25" s="6">
        <f>'П.1.1 '!S23</f>
        <v>0</v>
      </c>
      <c r="AH25" s="6">
        <f>'П.1.1 '!T23</f>
        <v>0</v>
      </c>
      <c r="AI25" s="6">
        <f>'П.1.1 '!U23</f>
        <v>0</v>
      </c>
      <c r="AJ25" s="6">
        <f t="shared" si="8"/>
        <v>42.870111259999995</v>
      </c>
    </row>
    <row r="26" spans="1:36" s="67" customFormat="1" ht="75" x14ac:dyDescent="0.25">
      <c r="A26" s="12" t="str">
        <f>'П.1.1 '!A24</f>
        <v>1.1.6</v>
      </c>
      <c r="B26" s="9" t="str">
        <f>'П.1.1 '!B24</f>
        <v xml:space="preserve">Реконструкция ПС 35/6 кВ "Боково" с заменой силовых трансформаторов на трансформаторы большей мощности </v>
      </c>
      <c r="C26" s="8" t="str">
        <f>'П.1.1 '!C24</f>
        <v>O_1.1.6</v>
      </c>
      <c r="D26" s="65"/>
      <c r="E26" s="65"/>
      <c r="F26" s="65"/>
      <c r="G26" s="65"/>
      <c r="H26" s="65"/>
      <c r="I26" s="74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8">
        <f>'П.1.1 '!K24</f>
        <v>0</v>
      </c>
      <c r="V26" s="8">
        <f>'П.1.1 '!L24</f>
        <v>0</v>
      </c>
      <c r="W26" s="8">
        <f>'П.1.1 '!M24</f>
        <v>0</v>
      </c>
      <c r="X26" s="8">
        <f>'П.1.1 '!N24</f>
        <v>0</v>
      </c>
      <c r="Y26" s="8" t="str">
        <f>'П.1.1 '!O24</f>
        <v>50 МВА</v>
      </c>
      <c r="Z26" s="8" t="str">
        <f>'П.1.1 '!P24</f>
        <v>50 МВА</v>
      </c>
      <c r="AA26" s="65"/>
      <c r="AB26" s="65"/>
      <c r="AC26" s="76"/>
      <c r="AD26" s="65"/>
      <c r="AE26" s="6">
        <f>'П.1.1 '!Q24</f>
        <v>0</v>
      </c>
      <c r="AF26" s="6">
        <f>'П.1.1 '!R24</f>
        <v>0</v>
      </c>
      <c r="AG26" s="6">
        <f>'П.1.1 '!S24</f>
        <v>5</v>
      </c>
      <c r="AH26" s="6">
        <f>'П.1.1 '!T24</f>
        <v>144.74562044800001</v>
      </c>
      <c r="AI26" s="6">
        <f>'П.1.1 '!U24</f>
        <v>139.06146917352976</v>
      </c>
      <c r="AJ26" s="6">
        <f t="shared" si="8"/>
        <v>288.80708962152977</v>
      </c>
    </row>
    <row r="27" spans="1:36" s="67" customFormat="1" ht="168.75" x14ac:dyDescent="0.25">
      <c r="A27" s="12" t="str">
        <f>'П.1.1 '!A25</f>
        <v>1.1.7</v>
      </c>
      <c r="B27" s="9" t="str">
        <f>'П.1.1 '!B25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7" s="8" t="str">
        <f>'П.1.1 '!C25</f>
        <v>O_1.1.7</v>
      </c>
      <c r="D27" s="65"/>
      <c r="E27" s="65"/>
      <c r="F27" s="65"/>
      <c r="G27" s="65"/>
      <c r="H27" s="65"/>
      <c r="I27" s="74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8" t="str">
        <f>'П.1.1 '!K25</f>
        <v>0,4 МВА 
0,2 км</v>
      </c>
      <c r="V27" s="8" t="str">
        <f>'П.1.1 '!L25</f>
        <v>0,4 МВА 
0,2 км</v>
      </c>
      <c r="W27" s="8" t="str">
        <f>'П.1.1 '!M25</f>
        <v>0,4 МВА 
0,2 км</v>
      </c>
      <c r="X27" s="8" t="str">
        <f>'П.1.1 '!N25</f>
        <v>0,4 МВА 
0,2 км</v>
      </c>
      <c r="Y27" s="8" t="str">
        <f>'П.1.1 '!O25</f>
        <v>0,4 МВА 
0,2 км</v>
      </c>
      <c r="Z27" s="8" t="str">
        <f>'П.1.1 '!P25</f>
        <v>2 МВА 
1 км</v>
      </c>
      <c r="AA27" s="65"/>
      <c r="AB27" s="65"/>
      <c r="AC27" s="76"/>
      <c r="AD27" s="65"/>
      <c r="AE27" s="6">
        <f>'П.1.1 '!Q25</f>
        <v>2.6358198000000002</v>
      </c>
      <c r="AF27" s="6">
        <f>'П.1.1 '!R25</f>
        <v>2.7465242316000005</v>
      </c>
      <c r="AG27" s="6">
        <f>'П.1.1 '!S25</f>
        <v>2.8618782493272006</v>
      </c>
      <c r="AH27" s="6">
        <f>'П.1.1 '!T25</f>
        <v>2.9820771357989431</v>
      </c>
      <c r="AI27" s="6">
        <f>'П.1.1 '!U25</f>
        <v>3.1073243755024986</v>
      </c>
      <c r="AJ27" s="6">
        <f t="shared" si="8"/>
        <v>14.333623792228641</v>
      </c>
    </row>
    <row r="28" spans="1:36" s="67" customFormat="1" ht="37.5" x14ac:dyDescent="0.25">
      <c r="A28" s="12" t="str">
        <f>'П.1.1 '!A26</f>
        <v>1.1.8</v>
      </c>
      <c r="B28" s="9" t="str">
        <f>'П.1.1 '!B26</f>
        <v>Реконструкция ПС 35/6 кВ "ИОРТПЦ" в Ангарском ГО п.Мегет</v>
      </c>
      <c r="C28" s="8" t="str">
        <f>'П.1.1 '!C26</f>
        <v>O_1.1-8</v>
      </c>
      <c r="D28" s="65"/>
      <c r="E28" s="65"/>
      <c r="F28" s="65"/>
      <c r="G28" s="65"/>
      <c r="H28" s="65"/>
      <c r="I28" s="74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8">
        <f>'П.1.1 '!K26</f>
        <v>0</v>
      </c>
      <c r="V28" s="8">
        <f>'П.1.1 '!L26</f>
        <v>0</v>
      </c>
      <c r="W28" s="8">
        <f>'П.1.1 '!M26</f>
        <v>0</v>
      </c>
      <c r="X28" s="8">
        <f>'П.1.1 '!N26</f>
        <v>0</v>
      </c>
      <c r="Y28" s="8" t="str">
        <f>'П.1.1 '!O26</f>
        <v>32 МВА</v>
      </c>
      <c r="Z28" s="8" t="str">
        <f>'П.1.1 '!P26</f>
        <v>32 МВА</v>
      </c>
      <c r="AA28" s="65"/>
      <c r="AB28" s="65"/>
      <c r="AC28" s="76"/>
      <c r="AD28" s="65"/>
      <c r="AE28" s="6">
        <f>'П.1.1 '!Q26</f>
        <v>5</v>
      </c>
      <c r="AF28" s="6">
        <f>'П.1.1 '!R26</f>
        <v>5</v>
      </c>
      <c r="AG28" s="6">
        <f>'П.1.1 '!S26</f>
        <v>39.321306043360003</v>
      </c>
      <c r="AH28" s="6">
        <f>'П.1.1 '!T26</f>
        <v>197.14584254664382</v>
      </c>
      <c r="AI28" s="6">
        <f>'П.1.1 '!U26</f>
        <v>155.81751033299679</v>
      </c>
      <c r="AJ28" s="6">
        <f t="shared" si="8"/>
        <v>402.28465892300062</v>
      </c>
    </row>
    <row r="29" spans="1:36" s="67" customFormat="1" ht="131.25" x14ac:dyDescent="0.25">
      <c r="A29" s="12" t="str">
        <f>'П.1.1 '!A27</f>
        <v>1.1.9</v>
      </c>
      <c r="B29" s="9" t="str">
        <f>'П.1.1 '!B27</f>
        <v xml:space="preserve">Замена существующего силового трансформатора напряжением 110/10 кВ мощностью 40 МВА на ПС 110/10 кВ Солнечная на новый силовой трансформатор (без увеличения мощности). Иркутская область, город Вихоревка. </v>
      </c>
      <c r="C29" s="8" t="str">
        <f>'П.1.1 '!C27</f>
        <v>O_1.1.9</v>
      </c>
      <c r="D29" s="65"/>
      <c r="E29" s="65"/>
      <c r="F29" s="65"/>
      <c r="G29" s="65"/>
      <c r="H29" s="65"/>
      <c r="I29" s="74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8">
        <f>'П.1.1 '!K27</f>
        <v>0</v>
      </c>
      <c r="V29" s="8" t="str">
        <f>'П.1.1 '!L27</f>
        <v>40 МВА</v>
      </c>
      <c r="W29" s="8">
        <f>'П.1.1 '!M27</f>
        <v>0</v>
      </c>
      <c r="X29" s="8">
        <f>'П.1.1 '!N27</f>
        <v>0</v>
      </c>
      <c r="Y29" s="8">
        <f>'П.1.1 '!O27</f>
        <v>0</v>
      </c>
      <c r="Z29" s="8" t="str">
        <f>'П.1.1 '!P27</f>
        <v>40 МВА</v>
      </c>
      <c r="AA29" s="65"/>
      <c r="AB29" s="65"/>
      <c r="AC29" s="76"/>
      <c r="AD29" s="65"/>
      <c r="AE29" s="6">
        <f>'П.1.1 '!Q27</f>
        <v>34.14</v>
      </c>
      <c r="AF29" s="6">
        <f>'П.1.1 '!R27</f>
        <v>83.324359999999999</v>
      </c>
      <c r="AG29" s="6">
        <f>'П.1.1 '!S27</f>
        <v>0</v>
      </c>
      <c r="AH29" s="6">
        <f>'П.1.1 '!T27</f>
        <v>0</v>
      </c>
      <c r="AI29" s="6">
        <f>'П.1.1 '!U27</f>
        <v>0</v>
      </c>
      <c r="AJ29" s="6">
        <f t="shared" si="8"/>
        <v>117.46436</v>
      </c>
    </row>
    <row r="30" spans="1:36" ht="18.75" x14ac:dyDescent="0.25">
      <c r="A30" s="12" t="s">
        <v>24</v>
      </c>
      <c r="B30" s="8"/>
      <c r="C30" s="8"/>
      <c r="D30" s="5"/>
      <c r="E30" s="5"/>
      <c r="F30" s="5"/>
      <c r="G30" s="5"/>
      <c r="H30" s="5"/>
      <c r="I30" s="33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8"/>
      <c r="V30" s="8"/>
      <c r="W30" s="8"/>
      <c r="X30" s="8"/>
      <c r="Y30" s="8"/>
      <c r="Z30" s="8"/>
      <c r="AA30" s="5"/>
      <c r="AB30" s="5"/>
      <c r="AC30" s="5"/>
      <c r="AD30" s="5"/>
      <c r="AE30" s="5"/>
      <c r="AF30" s="5"/>
      <c r="AG30" s="5"/>
      <c r="AH30" s="5"/>
      <c r="AI30" s="5"/>
      <c r="AJ30" s="7"/>
    </row>
    <row r="31" spans="1:36" ht="56.25" x14ac:dyDescent="0.25">
      <c r="A31" s="37" t="s">
        <v>26</v>
      </c>
      <c r="B31" s="34" t="s">
        <v>25</v>
      </c>
      <c r="C31" s="34"/>
      <c r="D31" s="5"/>
      <c r="E31" s="5"/>
      <c r="F31" s="5"/>
      <c r="G31" s="5"/>
      <c r="H31" s="5"/>
      <c r="I31" s="33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8"/>
      <c r="V31" s="8"/>
      <c r="W31" s="8"/>
      <c r="X31" s="8"/>
      <c r="Y31" s="8"/>
      <c r="Z31" s="8"/>
      <c r="AA31" s="5"/>
      <c r="AB31" s="5"/>
      <c r="AC31" s="5"/>
      <c r="AD31" s="5"/>
      <c r="AE31" s="5"/>
      <c r="AF31" s="5"/>
      <c r="AG31" s="5"/>
      <c r="AH31" s="5"/>
      <c r="AI31" s="5"/>
      <c r="AJ31" s="7"/>
    </row>
    <row r="32" spans="1:36" ht="18.75" x14ac:dyDescent="0.25">
      <c r="A32" s="12" t="s">
        <v>29</v>
      </c>
      <c r="B32" s="9" t="s">
        <v>27</v>
      </c>
      <c r="C32" s="8"/>
      <c r="D32" s="5"/>
      <c r="E32" s="5"/>
      <c r="F32" s="5"/>
      <c r="G32" s="5"/>
      <c r="H32" s="5"/>
      <c r="I32" s="33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8"/>
      <c r="V32" s="8"/>
      <c r="W32" s="8"/>
      <c r="X32" s="8"/>
      <c r="Y32" s="8"/>
      <c r="Z32" s="8"/>
      <c r="AA32" s="5"/>
      <c r="AB32" s="5"/>
      <c r="AC32" s="5"/>
      <c r="AD32" s="5"/>
      <c r="AE32" s="5"/>
      <c r="AF32" s="5"/>
      <c r="AG32" s="5"/>
      <c r="AH32" s="5"/>
      <c r="AI32" s="5"/>
      <c r="AJ32" s="7"/>
    </row>
    <row r="33" spans="1:36" ht="18.75" x14ac:dyDescent="0.25">
      <c r="A33" s="12" t="s">
        <v>30</v>
      </c>
      <c r="B33" s="9" t="s">
        <v>28</v>
      </c>
      <c r="C33" s="8"/>
      <c r="D33" s="5"/>
      <c r="E33" s="5"/>
      <c r="F33" s="5"/>
      <c r="G33" s="5"/>
      <c r="H33" s="5"/>
      <c r="I33" s="33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8"/>
      <c r="V33" s="8"/>
      <c r="W33" s="8"/>
      <c r="X33" s="8"/>
      <c r="Y33" s="8"/>
      <c r="Z33" s="8"/>
      <c r="AA33" s="5"/>
      <c r="AB33" s="5"/>
      <c r="AC33" s="5"/>
      <c r="AD33" s="5"/>
      <c r="AE33" s="5"/>
      <c r="AF33" s="5"/>
      <c r="AG33" s="5"/>
      <c r="AH33" s="5"/>
      <c r="AI33" s="5"/>
      <c r="AJ33" s="7"/>
    </row>
    <row r="34" spans="1:36" ht="18.75" x14ac:dyDescent="0.25">
      <c r="A34" s="12" t="s">
        <v>24</v>
      </c>
      <c r="B34" s="8"/>
      <c r="C34" s="8"/>
      <c r="D34" s="5"/>
      <c r="E34" s="5"/>
      <c r="F34" s="5"/>
      <c r="G34" s="5"/>
      <c r="H34" s="5"/>
      <c r="I34" s="33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8"/>
      <c r="V34" s="8"/>
      <c r="W34" s="8"/>
      <c r="X34" s="8"/>
      <c r="Y34" s="8"/>
      <c r="Z34" s="8"/>
      <c r="AA34" s="5"/>
      <c r="AB34" s="5"/>
      <c r="AC34" s="5"/>
      <c r="AD34" s="5"/>
      <c r="AE34" s="5"/>
      <c r="AF34" s="5"/>
      <c r="AG34" s="5"/>
      <c r="AH34" s="5"/>
      <c r="AI34" s="5"/>
      <c r="AJ34" s="7"/>
    </row>
    <row r="35" spans="1:36" ht="37.5" x14ac:dyDescent="0.25">
      <c r="A35" s="37" t="s">
        <v>32</v>
      </c>
      <c r="B35" s="34" t="s">
        <v>31</v>
      </c>
      <c r="C35" s="34"/>
      <c r="D35" s="5"/>
      <c r="E35" s="5"/>
      <c r="F35" s="5"/>
      <c r="G35" s="5"/>
      <c r="H35" s="5"/>
      <c r="I35" s="33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8"/>
      <c r="V35" s="8"/>
      <c r="W35" s="8"/>
      <c r="X35" s="8"/>
      <c r="Y35" s="8"/>
      <c r="Z35" s="8"/>
      <c r="AA35" s="5"/>
      <c r="AB35" s="5"/>
      <c r="AC35" s="5"/>
      <c r="AD35" s="5"/>
      <c r="AE35" s="5"/>
      <c r="AF35" s="5"/>
      <c r="AG35" s="5"/>
      <c r="AH35" s="5"/>
      <c r="AI35" s="5"/>
      <c r="AJ35" s="7"/>
    </row>
    <row r="36" spans="1:36" ht="18.75" x14ac:dyDescent="0.25">
      <c r="A36" s="12" t="s">
        <v>29</v>
      </c>
      <c r="B36" s="9" t="s">
        <v>27</v>
      </c>
      <c r="C36" s="8"/>
      <c r="D36" s="5"/>
      <c r="E36" s="5"/>
      <c r="F36" s="5"/>
      <c r="G36" s="5"/>
      <c r="H36" s="5"/>
      <c r="I36" s="33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8"/>
      <c r="V36" s="8"/>
      <c r="W36" s="8"/>
      <c r="X36" s="8"/>
      <c r="Y36" s="8"/>
      <c r="Z36" s="8"/>
      <c r="AA36" s="5"/>
      <c r="AB36" s="5"/>
      <c r="AC36" s="5"/>
      <c r="AD36" s="5"/>
      <c r="AE36" s="5"/>
      <c r="AF36" s="5"/>
      <c r="AG36" s="5"/>
      <c r="AH36" s="5"/>
      <c r="AI36" s="5"/>
      <c r="AJ36" s="7"/>
    </row>
    <row r="37" spans="1:36" ht="18.75" x14ac:dyDescent="0.25">
      <c r="A37" s="12" t="s">
        <v>30</v>
      </c>
      <c r="B37" s="9" t="s">
        <v>28</v>
      </c>
      <c r="C37" s="8"/>
      <c r="D37" s="5"/>
      <c r="E37" s="5"/>
      <c r="F37" s="5"/>
      <c r="G37" s="5"/>
      <c r="H37" s="5"/>
      <c r="I37" s="33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8"/>
      <c r="V37" s="8"/>
      <c r="W37" s="8"/>
      <c r="X37" s="8"/>
      <c r="Y37" s="8"/>
      <c r="Z37" s="8"/>
      <c r="AA37" s="5"/>
      <c r="AB37" s="5"/>
      <c r="AC37" s="5"/>
      <c r="AD37" s="5"/>
      <c r="AE37" s="5"/>
      <c r="AF37" s="5"/>
      <c r="AG37" s="5"/>
      <c r="AH37" s="5"/>
      <c r="AI37" s="5"/>
      <c r="AJ37" s="7"/>
    </row>
    <row r="38" spans="1:36" ht="18.75" x14ac:dyDescent="0.25">
      <c r="A38" s="12" t="s">
        <v>24</v>
      </c>
      <c r="B38" s="8"/>
      <c r="C38" s="8"/>
      <c r="D38" s="5"/>
      <c r="E38" s="5"/>
      <c r="F38" s="5"/>
      <c r="G38" s="5"/>
      <c r="H38" s="5"/>
      <c r="I38" s="33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8"/>
      <c r="V38" s="8"/>
      <c r="W38" s="8"/>
      <c r="X38" s="8"/>
      <c r="Y38" s="8"/>
      <c r="Z38" s="8"/>
      <c r="AA38" s="5"/>
      <c r="AB38" s="5"/>
      <c r="AC38" s="5"/>
      <c r="AD38" s="5"/>
      <c r="AE38" s="5"/>
      <c r="AF38" s="5"/>
      <c r="AG38" s="5"/>
      <c r="AH38" s="5"/>
      <c r="AI38" s="5"/>
      <c r="AJ38" s="7"/>
    </row>
    <row r="39" spans="1:36" ht="75" x14ac:dyDescent="0.25">
      <c r="A39" s="37" t="s">
        <v>34</v>
      </c>
      <c r="B39" s="34" t="s">
        <v>33</v>
      </c>
      <c r="C39" s="34"/>
      <c r="D39" s="5"/>
      <c r="E39" s="5"/>
      <c r="F39" s="5"/>
      <c r="G39" s="5"/>
      <c r="H39" s="5"/>
      <c r="I39" s="33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8"/>
      <c r="V39" s="8"/>
      <c r="W39" s="8"/>
      <c r="X39" s="8"/>
      <c r="Y39" s="8"/>
      <c r="Z39" s="8"/>
      <c r="AA39" s="5"/>
      <c r="AB39" s="5"/>
      <c r="AC39" s="5"/>
      <c r="AD39" s="5"/>
      <c r="AE39" s="5"/>
      <c r="AF39" s="5"/>
      <c r="AG39" s="5"/>
      <c r="AH39" s="5"/>
      <c r="AI39" s="5"/>
      <c r="AJ39" s="7"/>
    </row>
    <row r="40" spans="1:36" ht="18.75" x14ac:dyDescent="0.25">
      <c r="A40" s="12" t="s">
        <v>29</v>
      </c>
      <c r="B40" s="9" t="s">
        <v>27</v>
      </c>
      <c r="C40" s="8"/>
      <c r="D40" s="5"/>
      <c r="E40" s="5"/>
      <c r="F40" s="5"/>
      <c r="G40" s="5"/>
      <c r="H40" s="5"/>
      <c r="I40" s="33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8"/>
      <c r="V40" s="8"/>
      <c r="W40" s="8"/>
      <c r="X40" s="8"/>
      <c r="Y40" s="8"/>
      <c r="Z40" s="8"/>
      <c r="AA40" s="5"/>
      <c r="AB40" s="5"/>
      <c r="AC40" s="5"/>
      <c r="AD40" s="5"/>
      <c r="AE40" s="5"/>
      <c r="AF40" s="5"/>
      <c r="AG40" s="5"/>
      <c r="AH40" s="5"/>
      <c r="AI40" s="5"/>
      <c r="AJ40" s="7"/>
    </row>
    <row r="41" spans="1:36" ht="18.75" x14ac:dyDescent="0.25">
      <c r="A41" s="12" t="s">
        <v>30</v>
      </c>
      <c r="B41" s="9" t="s">
        <v>28</v>
      </c>
      <c r="C41" s="8"/>
      <c r="D41" s="5"/>
      <c r="E41" s="5"/>
      <c r="F41" s="5"/>
      <c r="G41" s="5"/>
      <c r="H41" s="5"/>
      <c r="I41" s="33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8"/>
      <c r="V41" s="8"/>
      <c r="W41" s="8"/>
      <c r="X41" s="8"/>
      <c r="Y41" s="8"/>
      <c r="Z41" s="8"/>
      <c r="AA41" s="5"/>
      <c r="AB41" s="5"/>
      <c r="AC41" s="5"/>
      <c r="AD41" s="5"/>
      <c r="AE41" s="5"/>
      <c r="AF41" s="5"/>
      <c r="AG41" s="5"/>
      <c r="AH41" s="5"/>
      <c r="AI41" s="5"/>
      <c r="AJ41" s="7"/>
    </row>
    <row r="42" spans="1:36" ht="18.75" x14ac:dyDescent="0.25">
      <c r="A42" s="12" t="s">
        <v>24</v>
      </c>
      <c r="B42" s="8"/>
      <c r="C42" s="8"/>
      <c r="D42" s="5"/>
      <c r="E42" s="5"/>
      <c r="F42" s="5"/>
      <c r="G42" s="5"/>
      <c r="H42" s="5"/>
      <c r="I42" s="33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8"/>
      <c r="V42" s="8"/>
      <c r="W42" s="8"/>
      <c r="X42" s="8"/>
      <c r="Y42" s="8"/>
      <c r="Z42" s="8"/>
      <c r="AA42" s="5"/>
      <c r="AB42" s="5"/>
      <c r="AC42" s="5"/>
      <c r="AD42" s="5"/>
      <c r="AE42" s="5"/>
      <c r="AF42" s="5"/>
      <c r="AG42" s="5"/>
      <c r="AH42" s="5"/>
      <c r="AI42" s="5"/>
      <c r="AJ42" s="7"/>
    </row>
    <row r="43" spans="1:36" ht="28.9" customHeight="1" x14ac:dyDescent="0.25">
      <c r="A43" s="37" t="s">
        <v>35</v>
      </c>
      <c r="B43" s="34" t="s">
        <v>36</v>
      </c>
      <c r="C43" s="34"/>
      <c r="D43" s="5"/>
      <c r="E43" s="5"/>
      <c r="F43" s="5"/>
      <c r="G43" s="5"/>
      <c r="H43" s="27"/>
      <c r="I43" s="56"/>
      <c r="J43" s="27"/>
      <c r="K43" s="5"/>
      <c r="L43" s="5"/>
      <c r="M43" s="5"/>
      <c r="N43" s="5"/>
      <c r="O43" s="5"/>
      <c r="P43" s="27"/>
      <c r="Q43" s="27"/>
      <c r="R43" s="27"/>
      <c r="S43" s="27"/>
      <c r="T43" s="27"/>
      <c r="U43" s="5"/>
      <c r="V43" s="5"/>
      <c r="W43" s="5"/>
      <c r="X43" s="5"/>
      <c r="Y43" s="5"/>
      <c r="Z43" s="5"/>
      <c r="AA43" s="27"/>
      <c r="AB43" s="27"/>
      <c r="AC43" s="27"/>
      <c r="AD43" s="27"/>
      <c r="AE43" s="27">
        <f>SUM(AE44:AE46)</f>
        <v>95.735531370000004</v>
      </c>
      <c r="AF43" s="27">
        <f t="shared" ref="AF43:AI43" si="9">SUM(AF44:AF46)</f>
        <v>93.083136647999993</v>
      </c>
      <c r="AG43" s="27">
        <f t="shared" si="9"/>
        <v>89.109349974346671</v>
      </c>
      <c r="AH43" s="27">
        <f t="shared" si="9"/>
        <v>88.937545280535474</v>
      </c>
      <c r="AI43" s="27">
        <f t="shared" si="9"/>
        <v>92.182518231333702</v>
      </c>
      <c r="AJ43" s="78">
        <f>SUM(AE43:AI43)</f>
        <v>459.04808150421582</v>
      </c>
    </row>
    <row r="44" spans="1:36" ht="31.9" customHeight="1" x14ac:dyDescent="0.25">
      <c r="A44" s="12" t="str">
        <f>'П.1.1 '!A42</f>
        <v>1.5.1</v>
      </c>
      <c r="B44" s="9" t="str">
        <f>'П.1.1 '!B42</f>
        <v>Приобретение автотехники</v>
      </c>
      <c r="C44" s="8" t="str">
        <f>'П.1.1 '!C42</f>
        <v>O_1.5.1</v>
      </c>
      <c r="D44" s="5"/>
      <c r="E44" s="5"/>
      <c r="F44" s="5"/>
      <c r="G44" s="5"/>
      <c r="H44" s="5"/>
      <c r="I44" s="33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7">
        <f>'П.1.1 '!Q42</f>
        <v>60.330931999999997</v>
      </c>
      <c r="AF44" s="7">
        <f>'П.1.1 '!R42</f>
        <v>62.229511000000002</v>
      </c>
      <c r="AG44" s="7">
        <f>'П.1.1 '!S42</f>
        <v>64.996765999999994</v>
      </c>
      <c r="AH44" s="7">
        <f>'П.1.1 '!T42</f>
        <v>66.625056000000001</v>
      </c>
      <c r="AI44" s="7">
        <f>'П.1.1 '!U42</f>
        <v>69.896224000000004</v>
      </c>
      <c r="AJ44" s="78">
        <f>SUM(AE44:AI44)</f>
        <v>324.07848899999999</v>
      </c>
    </row>
    <row r="45" spans="1:36" ht="39" customHeight="1" x14ac:dyDescent="0.25">
      <c r="A45" s="12" t="str">
        <f>'П.1.1 '!A43</f>
        <v>1.5.2</v>
      </c>
      <c r="B45" s="9" t="str">
        <f>'П.1.1 '!B43</f>
        <v>Програмное обеспечение и орг.техника</v>
      </c>
      <c r="C45" s="8" t="str">
        <f>'П.1.1 '!C43</f>
        <v>O_1.5.2</v>
      </c>
      <c r="D45" s="5"/>
      <c r="E45" s="5"/>
      <c r="F45" s="5"/>
      <c r="G45" s="5"/>
      <c r="H45" s="5"/>
      <c r="I45" s="33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7">
        <f>'П.1.1 '!Q43</f>
        <v>20.760599370000001</v>
      </c>
      <c r="AF45" s="7">
        <f>'П.1.1 '!R43</f>
        <v>15.594577648</v>
      </c>
      <c r="AG45" s="7">
        <f>'П.1.1 '!S43</f>
        <v>8.2126559583466694</v>
      </c>
      <c r="AH45" s="7">
        <f>'П.1.1 '!T43</f>
        <v>5.7447642878634699</v>
      </c>
      <c r="AI45" s="7">
        <f>'П.1.1 '!U43</f>
        <v>5.0227247889694704</v>
      </c>
      <c r="AJ45" s="78">
        <f>SUM(AE45:AI45)</f>
        <v>55.335322053179603</v>
      </c>
    </row>
    <row r="46" spans="1:36" ht="40.5" customHeight="1" x14ac:dyDescent="0.25">
      <c r="A46" s="12" t="str">
        <f>'П.1.1 '!A44</f>
        <v>1.5.3</v>
      </c>
      <c r="B46" s="9" t="str">
        <f>'П.1.1 '!B44</f>
        <v>Реконструкция и строительство производственных баз АО "БЭСК"</v>
      </c>
      <c r="C46" s="8" t="str">
        <f>'П.1.1 '!C44</f>
        <v>O_1.5.3</v>
      </c>
      <c r="D46" s="5"/>
      <c r="E46" s="5"/>
      <c r="F46" s="5"/>
      <c r="G46" s="5"/>
      <c r="H46" s="5"/>
      <c r="I46" s="33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7">
        <f>'П.1.1 '!Q44</f>
        <v>14.644</v>
      </c>
      <c r="AF46" s="7">
        <f>'П.1.1 '!R44</f>
        <v>15.259048</v>
      </c>
      <c r="AG46" s="7">
        <f>'П.1.1 '!S44</f>
        <v>15.899928016</v>
      </c>
      <c r="AH46" s="7">
        <f>'П.1.1 '!T44</f>
        <v>16.567724992672002</v>
      </c>
      <c r="AI46" s="7">
        <f>'П.1.1 '!U44</f>
        <v>17.263569442364226</v>
      </c>
      <c r="AJ46" s="78">
        <f>SUM(AE46:AI46)</f>
        <v>79.63427045103623</v>
      </c>
    </row>
    <row r="47" spans="1:36" ht="18.75" x14ac:dyDescent="0.25">
      <c r="A47" s="12" t="s">
        <v>24</v>
      </c>
      <c r="B47" s="8"/>
      <c r="C47" s="8"/>
      <c r="D47" s="5"/>
      <c r="E47" s="5"/>
      <c r="F47" s="5"/>
      <c r="G47" s="5"/>
      <c r="H47" s="5"/>
      <c r="I47" s="33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8"/>
      <c r="V47" s="8"/>
      <c r="W47" s="8"/>
      <c r="X47" s="8"/>
      <c r="Y47" s="8"/>
      <c r="Z47" s="8"/>
      <c r="AA47" s="5"/>
      <c r="AB47" s="5"/>
      <c r="AC47" s="5"/>
      <c r="AD47" s="5"/>
      <c r="AE47" s="5"/>
      <c r="AF47" s="5"/>
      <c r="AG47" s="5"/>
      <c r="AH47" s="5"/>
      <c r="AI47" s="5"/>
      <c r="AJ47" s="7"/>
    </row>
    <row r="48" spans="1:36" ht="60.75" customHeight="1" x14ac:dyDescent="0.25">
      <c r="A48" s="37" t="s">
        <v>30</v>
      </c>
      <c r="B48" s="34" t="s">
        <v>39</v>
      </c>
      <c r="C48" s="34"/>
      <c r="D48" s="5"/>
      <c r="E48" s="27"/>
      <c r="F48" s="27"/>
      <c r="G48" s="27"/>
      <c r="H48" s="27"/>
      <c r="I48" s="56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 t="str">
        <f>U49</f>
        <v>5,26 МВА  
47,25 км</v>
      </c>
      <c r="V48" s="27" t="str">
        <f t="shared" ref="V48:Z48" si="10">V49</f>
        <v>5,26 МВА  
21,9 км</v>
      </c>
      <c r="W48" s="27" t="str">
        <f t="shared" si="10"/>
        <v>19,46 МВА 
30,1 км</v>
      </c>
      <c r="X48" s="27" t="str">
        <f t="shared" si="10"/>
        <v>6,86 МВА 
29,3 км</v>
      </c>
      <c r="Y48" s="27" t="str">
        <f t="shared" si="10"/>
        <v>6,86 МВА 
35,99 км</v>
      </c>
      <c r="Z48" s="27" t="str">
        <f t="shared" si="10"/>
        <v>43,7 МВА 
164,5км</v>
      </c>
      <c r="AA48" s="27"/>
      <c r="AB48" s="27"/>
      <c r="AC48" s="27"/>
      <c r="AD48" s="27"/>
      <c r="AE48" s="27">
        <f t="shared" ref="AE48:AJ48" si="11">AE49</f>
        <v>333.85171405759996</v>
      </c>
      <c r="AF48" s="27">
        <f t="shared" si="11"/>
        <v>371.74105282748803</v>
      </c>
      <c r="AG48" s="27">
        <f t="shared" si="11"/>
        <v>443.48847864749496</v>
      </c>
      <c r="AH48" s="27">
        <f t="shared" si="11"/>
        <v>170.8232143233721</v>
      </c>
      <c r="AI48" s="27">
        <f t="shared" si="11"/>
        <v>254.0851934049538</v>
      </c>
      <c r="AJ48" s="27">
        <f t="shared" si="11"/>
        <v>1573.9896532609089</v>
      </c>
    </row>
    <row r="49" spans="1:36" ht="62.25" customHeight="1" x14ac:dyDescent="0.25">
      <c r="A49" s="37" t="s">
        <v>40</v>
      </c>
      <c r="B49" s="34" t="s">
        <v>9</v>
      </c>
      <c r="C49" s="34"/>
      <c r="D49" s="5"/>
      <c r="E49" s="5"/>
      <c r="F49" s="5"/>
      <c r="G49" s="5"/>
      <c r="H49" s="5"/>
      <c r="I49" s="33"/>
      <c r="J49" s="5"/>
      <c r="K49" s="5"/>
      <c r="L49" s="5"/>
      <c r="M49" s="5"/>
      <c r="N49" s="5"/>
      <c r="O49" s="5"/>
      <c r="P49" s="27"/>
      <c r="Q49" s="27"/>
      <c r="R49" s="27"/>
      <c r="S49" s="27"/>
      <c r="T49" s="27"/>
      <c r="U49" s="5" t="str">
        <f>'П.1.1 '!K47</f>
        <v>5,26 МВА  
47,25 км</v>
      </c>
      <c r="V49" s="5" t="str">
        <f>'П.1.1 '!L47</f>
        <v>5,26 МВА  
21,9 км</v>
      </c>
      <c r="W49" s="5" t="str">
        <f>'П.1.1 '!M47</f>
        <v>19,46 МВА 
30,1 км</v>
      </c>
      <c r="X49" s="5" t="str">
        <f>'П.1.1 '!N47</f>
        <v>6,86 МВА 
29,3 км</v>
      </c>
      <c r="Y49" s="5" t="str">
        <f>'П.1.1 '!O47</f>
        <v>6,86 МВА 
35,99 км</v>
      </c>
      <c r="Z49" s="5" t="str">
        <f>'П.1.1 '!P47</f>
        <v>43,7 МВА 
164,5км</v>
      </c>
      <c r="AA49" s="27"/>
      <c r="AB49" s="27"/>
      <c r="AC49" s="27"/>
      <c r="AD49" s="27"/>
      <c r="AE49" s="27">
        <f>SUM(AE50:AE62)</f>
        <v>333.85171405759996</v>
      </c>
      <c r="AF49" s="27">
        <f>SUM(AF50:AF62)</f>
        <v>371.74105282748803</v>
      </c>
      <c r="AG49" s="27">
        <f>SUM(AG50:AG62)</f>
        <v>443.48847864749496</v>
      </c>
      <c r="AH49" s="27">
        <f t="shared" ref="AH49:AI49" si="12">SUM(AH50:AH62)</f>
        <v>170.8232143233721</v>
      </c>
      <c r="AI49" s="27">
        <f t="shared" si="12"/>
        <v>254.0851934049538</v>
      </c>
      <c r="AJ49" s="27">
        <f>SUM(AJ50:AJ62)</f>
        <v>1573.9896532609089</v>
      </c>
    </row>
    <row r="50" spans="1:36" ht="84" customHeight="1" x14ac:dyDescent="0.25">
      <c r="A50" s="12" t="str">
        <f>'П.1.1 '!A48</f>
        <v>2.1.1</v>
      </c>
      <c r="B50" s="9" t="str">
        <f>'П.1.1 '!B48</f>
        <v>Автоматизированная 
информационно-измерительная система  учета электроэнергии АО «БЭСК»</v>
      </c>
      <c r="C50" s="8" t="str">
        <f>'П.1.1 '!C48</f>
        <v>O_2.1.1</v>
      </c>
      <c r="D50" s="5"/>
      <c r="E50" s="5"/>
      <c r="F50" s="5"/>
      <c r="G50" s="5"/>
      <c r="H50" s="5"/>
      <c r="I50" s="33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8"/>
      <c r="V50" s="8"/>
      <c r="W50" s="8"/>
      <c r="X50" s="8"/>
      <c r="Y50" s="8"/>
      <c r="Z50" s="8"/>
      <c r="AA50" s="5"/>
      <c r="AB50" s="5"/>
      <c r="AC50" s="5"/>
      <c r="AD50" s="5"/>
      <c r="AE50" s="7">
        <f>'П.1.1 '!Q48</f>
        <v>15</v>
      </c>
      <c r="AF50" s="7">
        <f>'П.1.1 '!R48</f>
        <v>15.600000000000001</v>
      </c>
      <c r="AG50" s="7">
        <f>'П.1.1 '!S48</f>
        <v>16.224000000000004</v>
      </c>
      <c r="AH50" s="7">
        <f>'П.1.1 '!T48</f>
        <v>16.872960000000006</v>
      </c>
      <c r="AI50" s="7">
        <f>'П.1.1 '!U48</f>
        <v>17.547878400000005</v>
      </c>
      <c r="AJ50" s="7">
        <f t="shared" ref="AJ50:AJ60" si="13">SUM(AE50:AI50)</f>
        <v>81.24483840000002</v>
      </c>
    </row>
    <row r="51" spans="1:36" s="4" customFormat="1" ht="80.25" customHeight="1" x14ac:dyDescent="0.25">
      <c r="A51" s="12" t="str">
        <f>'П.1.1 '!A49</f>
        <v>2.1.2</v>
      </c>
      <c r="B51" s="9" t="str">
        <f>'П.1.1 '!B49</f>
        <v>Строительство ЛЭП-10 кВ от поселка Тамтачет через поселок Полинчет до поселка Кондратьево в Тайшетском районе</v>
      </c>
      <c r="C51" s="8" t="str">
        <f>'П.1.1 '!C49</f>
        <v>М_2.1.4</v>
      </c>
      <c r="D51" s="5"/>
      <c r="E51" s="5"/>
      <c r="F51" s="5"/>
      <c r="G51" s="5"/>
      <c r="H51" s="5"/>
      <c r="I51" s="33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8" t="str">
        <f>'П.1.1 '!K49</f>
        <v>13 км</v>
      </c>
      <c r="V51" s="8" t="str">
        <f>'П.1.1 '!L49</f>
        <v>0,4 км</v>
      </c>
      <c r="W51" s="8">
        <f>'П.1.1 '!M49</f>
        <v>0</v>
      </c>
      <c r="X51" s="8">
        <f>'П.1.1 '!N49</f>
        <v>0</v>
      </c>
      <c r="Y51" s="8">
        <f>'П.1.1 '!O49</f>
        <v>0</v>
      </c>
      <c r="Z51" s="8" t="str">
        <f>'П.1.1 '!P49</f>
        <v>13,4 км</v>
      </c>
      <c r="AA51" s="5"/>
      <c r="AB51" s="5"/>
      <c r="AC51" s="5"/>
      <c r="AD51" s="5"/>
      <c r="AE51" s="7">
        <f>'П.1.1 '!Q49</f>
        <v>62.96220000000001</v>
      </c>
      <c r="AF51" s="7">
        <f>'П.1.1 '!R49</f>
        <v>32.803306200000009</v>
      </c>
      <c r="AG51" s="7">
        <f>'П.1.1 '!S49</f>
        <v>0</v>
      </c>
      <c r="AH51" s="7">
        <f>'П.1.1 '!T49</f>
        <v>0</v>
      </c>
      <c r="AI51" s="7">
        <f>'П.1.1 '!U49</f>
        <v>0</v>
      </c>
      <c r="AJ51" s="7">
        <f t="shared" si="13"/>
        <v>95.765506200000019</v>
      </c>
    </row>
    <row r="52" spans="1:36" s="4" customFormat="1" ht="108.75" customHeight="1" x14ac:dyDescent="0.25">
      <c r="A52" s="12" t="str">
        <f>'П.1.1 '!A50</f>
        <v>2.1.3</v>
      </c>
      <c r="B52" s="9" t="str">
        <f>'П.1.1 '!B50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</v>
      </c>
      <c r="C52" s="8" t="str">
        <f>'П.1.1 '!C50</f>
        <v>O_2.1.5</v>
      </c>
      <c r="D52" s="5"/>
      <c r="E52" s="5"/>
      <c r="F52" s="5"/>
      <c r="G52" s="5"/>
      <c r="H52" s="5"/>
      <c r="I52" s="33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8" t="str">
        <f>'П.1.1 '!K50</f>
        <v>0,4 МВА
11,1 км</v>
      </c>
      <c r="V52" s="8" t="str">
        <f>'П.1.1 '!L50</f>
        <v>0,4 МВА
1,7 км</v>
      </c>
      <c r="W52" s="8" t="str">
        <f>'П.1.1 '!M50</f>
        <v>0,4 МВА
1,7 км</v>
      </c>
      <c r="X52" s="8" t="str">
        <f>'П.1.1 '!N50</f>
        <v>0,4 МВА
1,7 км</v>
      </c>
      <c r="Y52" s="8" t="str">
        <f>'П.1.1 '!O50</f>
        <v>0,4 МВА
8,4 км</v>
      </c>
      <c r="Z52" s="8" t="str">
        <f>'П.1.1 '!P50</f>
        <v>2 МВА
24,6 км</v>
      </c>
      <c r="AA52" s="5"/>
      <c r="AB52" s="5"/>
      <c r="AC52" s="5"/>
      <c r="AD52" s="5"/>
      <c r="AE52" s="7">
        <f>'П.1.1 '!Q50</f>
        <v>85.857297799999998</v>
      </c>
      <c r="AF52" s="7">
        <f>'П.1.1 '!R50</f>
        <v>7.1886618000000002</v>
      </c>
      <c r="AG52" s="7">
        <f>'П.1.1 '!S50</f>
        <v>7.4905855956000007</v>
      </c>
      <c r="AH52" s="7">
        <f>'П.1.1 '!T50</f>
        <v>7.8051901906152006</v>
      </c>
      <c r="AI52" s="7">
        <f>'П.1.1 '!U50</f>
        <v>84.254008178621035</v>
      </c>
      <c r="AJ52" s="7">
        <f t="shared" si="13"/>
        <v>192.59574356483625</v>
      </c>
    </row>
    <row r="53" spans="1:36" s="4" customFormat="1" ht="76.5" customHeight="1" x14ac:dyDescent="0.25">
      <c r="A53" s="12" t="str">
        <f>'П.1.1 '!A51</f>
        <v>2.1.4</v>
      </c>
      <c r="B53" s="9" t="str">
        <f>'П.1.1 '!B51</f>
        <v>Строительство электрических сетей напряжением 10(6)-0,4кВ в городе Усть-Илимске</v>
      </c>
      <c r="C53" s="8" t="str">
        <f>'П.1.1 '!C51</f>
        <v>O_2.1.7</v>
      </c>
      <c r="D53" s="5"/>
      <c r="E53" s="5"/>
      <c r="F53" s="5"/>
      <c r="G53" s="5"/>
      <c r="H53" s="5"/>
      <c r="I53" s="33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8" t="str">
        <f>'П.1.1 '!K51</f>
        <v>0,4 МВА 
1,7 км</v>
      </c>
      <c r="V53" s="8" t="str">
        <f>'П.1.1 '!L51</f>
        <v>0,4 МВА 
1,7 км</v>
      </c>
      <c r="W53" s="8" t="str">
        <f>'П.1.1 '!M51</f>
        <v>0,4 МВА 
1,7 км</v>
      </c>
      <c r="X53" s="8" t="str">
        <f>'П.1.1 '!N51</f>
        <v>0,4 МВА 
1,7 км</v>
      </c>
      <c r="Y53" s="8" t="str">
        <f>'П.1.1 '!O51</f>
        <v>0,4 МВА 
1,7 км</v>
      </c>
      <c r="Z53" s="8" t="str">
        <f>'П.1.1 '!P51</f>
        <v>2 МВА 
8,5 км</v>
      </c>
      <c r="AA53" s="5"/>
      <c r="AB53" s="5"/>
      <c r="AC53" s="5"/>
      <c r="AD53" s="5"/>
      <c r="AE53" s="7">
        <f>'П.1.1 '!Q51</f>
        <v>7.1886618000000002</v>
      </c>
      <c r="AF53" s="7">
        <f>'П.1.1 '!R51</f>
        <v>7.4905855956000007</v>
      </c>
      <c r="AG53" s="7">
        <f>'П.1.1 '!S51</f>
        <v>7.8051901906152006</v>
      </c>
      <c r="AH53" s="7">
        <f>'П.1.1 '!T51</f>
        <v>8.13300817862104</v>
      </c>
      <c r="AI53" s="7">
        <f>'П.1.1 '!U51</f>
        <v>8.4745945221231231</v>
      </c>
      <c r="AJ53" s="7">
        <f t="shared" si="13"/>
        <v>39.09204028695936</v>
      </c>
    </row>
    <row r="54" spans="1:36" s="4" customFormat="1" ht="105.75" customHeight="1" x14ac:dyDescent="0.25">
      <c r="A54" s="12" t="str">
        <f>'П.1.1 '!A52</f>
        <v>2.1.5</v>
      </c>
      <c r="B54" s="9" t="str">
        <f>'П.1.1 '!B52</f>
        <v>Строительство электрических сетей в жилом районе Порожский, городе Братске</v>
      </c>
      <c r="C54" s="8" t="str">
        <f>'П.1.1 '!C52</f>
        <v>O_2.1.8</v>
      </c>
      <c r="D54" s="5"/>
      <c r="E54" s="5"/>
      <c r="F54" s="5"/>
      <c r="G54" s="5"/>
      <c r="H54" s="5"/>
      <c r="I54" s="33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8" t="str">
        <f>'П.1.1 '!K52</f>
        <v>0,4 МВА 
1,7 км</v>
      </c>
      <c r="V54" s="8" t="str">
        <f>'П.1.1 '!L52</f>
        <v>0,4 МВА 
1,7 км</v>
      </c>
      <c r="W54" s="8" t="str">
        <f>'П.1.1 '!M52</f>
        <v>0,4 МВА 
1,7 км</v>
      </c>
      <c r="X54" s="8" t="str">
        <f>'П.1.1 '!N52</f>
        <v>0,4 МВА 
1,7 км</v>
      </c>
      <c r="Y54" s="8" t="str">
        <f>'П.1.1 '!O52</f>
        <v>0,4 МВА 
1,7 км</v>
      </c>
      <c r="Z54" s="8" t="str">
        <f>'П.1.1 '!P52</f>
        <v>2 МВА 
8,5 км</v>
      </c>
      <c r="AA54" s="5"/>
      <c r="AB54" s="5"/>
      <c r="AC54" s="5"/>
      <c r="AD54" s="5"/>
      <c r="AE54" s="7">
        <f>'П.1.1 '!Q52</f>
        <v>7.1886618000000002</v>
      </c>
      <c r="AF54" s="7">
        <f>'П.1.1 '!R52</f>
        <v>7.4905855956000007</v>
      </c>
      <c r="AG54" s="7">
        <f>'П.1.1 '!S52</f>
        <v>7.8051901906152006</v>
      </c>
      <c r="AH54" s="7">
        <f>'П.1.1 '!T52</f>
        <v>8.13300817862104</v>
      </c>
      <c r="AI54" s="7">
        <f>'П.1.1 '!U52</f>
        <v>8.4745945221231231</v>
      </c>
      <c r="AJ54" s="7">
        <f t="shared" si="13"/>
        <v>39.09204028695936</v>
      </c>
    </row>
    <row r="55" spans="1:36" s="77" customFormat="1" ht="68.25" customHeight="1" x14ac:dyDescent="0.25">
      <c r="A55" s="12" t="str">
        <f>'П.1.1 '!A53</f>
        <v>2.1.6</v>
      </c>
      <c r="B55" s="9" t="str">
        <f>'П.1.1 '!B53</f>
        <v>Строительство электрических сетей в городе Вихоревка, поселках Братского района</v>
      </c>
      <c r="C55" s="8" t="str">
        <f>'П.1.1 '!C53</f>
        <v>O_2.1.9</v>
      </c>
      <c r="D55" s="65"/>
      <c r="E55" s="65"/>
      <c r="F55" s="65"/>
      <c r="G55" s="65"/>
      <c r="H55" s="65"/>
      <c r="I55" s="74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8" t="str">
        <f>'П.1.1 '!K53</f>
        <v>1,2 МВА 
6,6 км</v>
      </c>
      <c r="V55" s="8" t="str">
        <f>'П.1.1 '!L53</f>
        <v>1,2 МВА 
6,6 км</v>
      </c>
      <c r="W55" s="8" t="str">
        <f>'П.1.1 '!M53</f>
        <v>2 МВА 
11 км</v>
      </c>
      <c r="X55" s="8" t="str">
        <f>'П.1.1 '!N53</f>
        <v>2 МВА 
11 км</v>
      </c>
      <c r="Y55" s="8" t="str">
        <f>'П.1.1 '!O53</f>
        <v>2 МВА 
11 км</v>
      </c>
      <c r="Z55" s="8" t="str">
        <f>'П.1.1 '!P53</f>
        <v>8,4 МВА 
46,2 км</v>
      </c>
      <c r="AA55" s="65"/>
      <c r="AB55" s="65"/>
      <c r="AC55" s="65"/>
      <c r="AD55" s="65"/>
      <c r="AE55" s="7">
        <f>'П.1.1 '!Q53</f>
        <v>31.6904854</v>
      </c>
      <c r="AF55" s="7">
        <f>'П.1.1 '!R53</f>
        <v>33.022000000000006</v>
      </c>
      <c r="AG55" s="7">
        <f>'П.1.1 '!S53</f>
        <v>54.151000000000003</v>
      </c>
      <c r="AH55" s="7">
        <f>'П.1.1 '!T53</f>
        <v>56.424999999999997</v>
      </c>
      <c r="AI55" s="7">
        <f>'П.1.1 '!U53</f>
        <v>58.795000000000002</v>
      </c>
      <c r="AJ55" s="7">
        <f t="shared" si="13"/>
        <v>234.08348540000003</v>
      </c>
    </row>
    <row r="56" spans="1:36" s="77" customFormat="1" ht="52.5" customHeight="1" x14ac:dyDescent="0.25">
      <c r="A56" s="12" t="str">
        <f>'П.1.1 '!A54</f>
        <v>2.1.7</v>
      </c>
      <c r="B56" s="9" t="str">
        <f>'П.1.1 '!B54</f>
        <v>Строительство электрических сетей в Нижнеилимском районе</v>
      </c>
      <c r="C56" s="8" t="str">
        <f>'П.1.1 '!C54</f>
        <v>O_2.1.10</v>
      </c>
      <c r="D56" s="65"/>
      <c r="E56" s="65"/>
      <c r="F56" s="65"/>
      <c r="G56" s="65"/>
      <c r="H56" s="65"/>
      <c r="I56" s="74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8" t="str">
        <f>'П.1.1 '!K54</f>
        <v>0,4 МВА 
1,7 км</v>
      </c>
      <c r="V56" s="8" t="str">
        <f>'П.1.1 '!L54</f>
        <v>0,4 МВА 
1,7 км</v>
      </c>
      <c r="W56" s="8" t="str">
        <f>'П.1.1 '!M54</f>
        <v>0,8 МВА 
3,4 км</v>
      </c>
      <c r="X56" s="8" t="str">
        <f>'П.1.1 '!N54</f>
        <v>0,8 МВА 
3,4 км</v>
      </c>
      <c r="Y56" s="8" t="str">
        <f>'П.1.1 '!O54</f>
        <v>0,8 МВА 
3,4 км</v>
      </c>
      <c r="Z56" s="8" t="str">
        <f>'П.1.1 '!P54</f>
        <v>3,2 МВА 
13,6 км</v>
      </c>
      <c r="AA56" s="65"/>
      <c r="AB56" s="65"/>
      <c r="AC56" s="65"/>
      <c r="AD56" s="65"/>
      <c r="AE56" s="7">
        <f>'П.1.1 '!Q54</f>
        <v>7.1886618000000002</v>
      </c>
      <c r="AF56" s="7">
        <f>'П.1.1 '!R54</f>
        <v>7.4905855956000007</v>
      </c>
      <c r="AG56" s="7">
        <f>'П.1.1 '!S54</f>
        <v>14.377000000000001</v>
      </c>
      <c r="AH56" s="7">
        <f>'П.1.1 '!T54</f>
        <v>14.980834000000002</v>
      </c>
      <c r="AI56" s="7">
        <f>'П.1.1 '!U54</f>
        <v>15.610029028000001</v>
      </c>
      <c r="AJ56" s="7">
        <f t="shared" si="13"/>
        <v>59.647110423600004</v>
      </c>
    </row>
    <row r="57" spans="1:36" s="77" customFormat="1" ht="52.5" customHeight="1" x14ac:dyDescent="0.25">
      <c r="A57" s="12" t="str">
        <f>'П.1.1 '!A55</f>
        <v>2.1.8</v>
      </c>
      <c r="B57" s="9" t="str">
        <f>'П.1.1 '!B55</f>
        <v>Строительство электрических сетей в Чунском районе</v>
      </c>
      <c r="C57" s="8" t="str">
        <f>'П.1.1 '!C55</f>
        <v>O_2.1.11</v>
      </c>
      <c r="D57" s="65"/>
      <c r="E57" s="65"/>
      <c r="F57" s="65"/>
      <c r="G57" s="65"/>
      <c r="H57" s="65"/>
      <c r="I57" s="74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8" t="str">
        <f>'П.1.1 '!K55</f>
        <v>0,4 МВА 
1,7 км</v>
      </c>
      <c r="V57" s="8" t="str">
        <f>'П.1.1 '!L55</f>
        <v>0,4 МВА 
1,7 км</v>
      </c>
      <c r="W57" s="8" t="str">
        <f>'П.1.1 '!M55</f>
        <v>0,4 МВА 
1,7 км</v>
      </c>
      <c r="X57" s="8" t="str">
        <f>'П.1.1 '!N55</f>
        <v>0,4 МВА 
1,7 км</v>
      </c>
      <c r="Y57" s="8" t="str">
        <f>'П.1.1 '!O55</f>
        <v>0,4 МВА 
1,7 км</v>
      </c>
      <c r="Z57" s="8" t="str">
        <f>'П.1.1 '!P55</f>
        <v>2 МВА 
8,5 км</v>
      </c>
      <c r="AA57" s="65"/>
      <c r="AB57" s="65"/>
      <c r="AC57" s="65"/>
      <c r="AD57" s="65"/>
      <c r="AE57" s="7">
        <f>'П.1.1 '!Q55</f>
        <v>7.1886618000000002</v>
      </c>
      <c r="AF57" s="7">
        <f>'П.1.1 '!R55</f>
        <v>7.4905855956000007</v>
      </c>
      <c r="AG57" s="7">
        <f>'П.1.1 '!S55</f>
        <v>7.8051901906152006</v>
      </c>
      <c r="AH57" s="7">
        <f>'П.1.1 '!T55</f>
        <v>8.13300817862104</v>
      </c>
      <c r="AI57" s="7">
        <f>'П.1.1 '!U55</f>
        <v>8.4745945221231231</v>
      </c>
      <c r="AJ57" s="7">
        <f t="shared" si="13"/>
        <v>39.09204028695936</v>
      </c>
    </row>
    <row r="58" spans="1:36" s="77" customFormat="1" ht="46.5" customHeight="1" x14ac:dyDescent="0.25">
      <c r="A58" s="12" t="str">
        <f>'П.1.1 '!A56</f>
        <v>2.1.9</v>
      </c>
      <c r="B58" s="9" t="str">
        <f>'П.1.1 '!B56</f>
        <v>Строительство электрических сетей 0,4-10(6)кВ в городе Братске</v>
      </c>
      <c r="C58" s="8" t="str">
        <f>'П.1.1 '!C56</f>
        <v>O_2.1.12</v>
      </c>
      <c r="D58" s="65"/>
      <c r="E58" s="65"/>
      <c r="F58" s="65"/>
      <c r="G58" s="65"/>
      <c r="H58" s="65"/>
      <c r="I58" s="74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8" t="str">
        <f>'П.1.1 '!K56</f>
        <v>1,26 МВА 
6,36 км</v>
      </c>
      <c r="V58" s="8" t="str">
        <f>'П.1.1 '!L56</f>
        <v>1,26 МВА 
3 км</v>
      </c>
      <c r="W58" s="8" t="str">
        <f>'П.1.1 '!M56</f>
        <v>1,26 МВА 
3 км</v>
      </c>
      <c r="X58" s="8" t="str">
        <f>'П.1.1 '!N56</f>
        <v>1,26 МВА 
3 км</v>
      </c>
      <c r="Y58" s="8" t="str">
        <f>'П.1.1 '!O56</f>
        <v>1,26 МВА 
3 км</v>
      </c>
      <c r="Z58" s="8" t="str">
        <f>'П.1.1 '!P56</f>
        <v>6,3 МВА 
18,4 км</v>
      </c>
      <c r="AA58" s="65"/>
      <c r="AB58" s="65"/>
      <c r="AC58" s="65"/>
      <c r="AD58" s="65"/>
      <c r="AE58" s="7">
        <f>'П.1.1 '!Q56</f>
        <v>37.439332999999998</v>
      </c>
      <c r="AF58" s="7">
        <f>'П.1.1 '!R56</f>
        <v>25.075454912000001</v>
      </c>
      <c r="AG58" s="7">
        <f>'П.1.1 '!S56</f>
        <v>26.128624018304002</v>
      </c>
      <c r="AH58" s="7">
        <f>'П.1.1 '!T56</f>
        <v>27.226026227072772</v>
      </c>
      <c r="AI58" s="7">
        <f>'П.1.1 '!U56</f>
        <v>28.36951932860983</v>
      </c>
      <c r="AJ58" s="7">
        <f t="shared" si="13"/>
        <v>144.23895748598662</v>
      </c>
    </row>
    <row r="59" spans="1:36" s="77" customFormat="1" ht="75" x14ac:dyDescent="0.25">
      <c r="A59" s="12" t="str">
        <f>'П.1.1 '!A57</f>
        <v>2.1.10</v>
      </c>
      <c r="B59" s="9" t="str">
        <f>'П.1.1 '!B57</f>
        <v>Строительство ВЛ-35кВ, ПС 35/6 кВ "Порожская" в жилом районе Порожский города Братск</v>
      </c>
      <c r="C59" s="8" t="str">
        <f>'П.1.1 '!C57</f>
        <v>К_2.1.13</v>
      </c>
      <c r="D59" s="65"/>
      <c r="E59" s="65"/>
      <c r="F59" s="65"/>
      <c r="G59" s="65"/>
      <c r="H59" s="65"/>
      <c r="I59" s="74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8">
        <f>'П.1.1 '!K57</f>
        <v>0</v>
      </c>
      <c r="V59" s="8">
        <f>'П.1.1 '!L57</f>
        <v>0</v>
      </c>
      <c r="W59" s="8" t="str">
        <f>'П.1.1 '!M57</f>
        <v>12,6 МВА
2-х цепная ВЛ-35кВ 
0,4 км</v>
      </c>
      <c r="X59" s="8">
        <f>'П.1.1 '!N57</f>
        <v>0</v>
      </c>
      <c r="Y59" s="8">
        <f>'П.1.1 '!O57</f>
        <v>0</v>
      </c>
      <c r="Z59" s="8" t="str">
        <f>'П.1.1 '!P57</f>
        <v>12,6 МВА
2-х цепная ВЛ-35кВ 
0,4 км</v>
      </c>
      <c r="AA59" s="65"/>
      <c r="AB59" s="65"/>
      <c r="AC59" s="65"/>
      <c r="AD59" s="65"/>
      <c r="AE59" s="7">
        <f>'П.1.1 '!Q57</f>
        <v>57.770427057600003</v>
      </c>
      <c r="AF59" s="7">
        <f>'П.1.1 '!R57</f>
        <v>213.10811634188804</v>
      </c>
      <c r="AG59" s="7">
        <f>'П.1.1 '!S57</f>
        <v>279.51918467113018</v>
      </c>
      <c r="AH59" s="7">
        <f>'П.1.1 '!T57</f>
        <v>0</v>
      </c>
      <c r="AI59" s="7">
        <f>'П.1.1 '!U57</f>
        <v>0</v>
      </c>
      <c r="AJ59" s="7">
        <f t="shared" si="13"/>
        <v>550.3977280706182</v>
      </c>
    </row>
    <row r="60" spans="1:36" s="77" customFormat="1" ht="89.25" customHeight="1" x14ac:dyDescent="0.25">
      <c r="A60" s="12" t="str">
        <f>'П.1.1 '!A58</f>
        <v>2.1.11</v>
      </c>
      <c r="B60" s="9" t="str">
        <f>'П.1.1 '!B58</f>
        <v>Строительство распределительных сетей 10-0,4кВ в п.Янталь, п.Каймоново, п.Ручей, п.Звёздный Усть-Кутского района</v>
      </c>
      <c r="C60" s="8" t="str">
        <f>'П.1.1 '!C58</f>
        <v>O_2.1.16</v>
      </c>
      <c r="D60" s="65"/>
      <c r="E60" s="65"/>
      <c r="F60" s="65"/>
      <c r="G60" s="65"/>
      <c r="H60" s="65"/>
      <c r="I60" s="74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8" t="str">
        <f>'П.1.1 '!K58</f>
        <v>0,4 МВА 
1,7 км</v>
      </c>
      <c r="V60" s="8" t="str">
        <f>'П.1.1 '!L58</f>
        <v>0,4 МВА 
1,7 км</v>
      </c>
      <c r="W60" s="8" t="str">
        <f>'П.1.1 '!M58</f>
        <v>0,8 МВА 
3,4 км</v>
      </c>
      <c r="X60" s="8" t="str">
        <f>'П.1.1 '!N58</f>
        <v>0,8 МВА 
3,4 км</v>
      </c>
      <c r="Y60" s="8" t="str">
        <f>'П.1.1 '!O58</f>
        <v>0,8 МВА 
3,4 км</v>
      </c>
      <c r="Z60" s="8" t="str">
        <f>'П.1.1 '!P58</f>
        <v>3,2 МВА 
13,6 км</v>
      </c>
      <c r="AA60" s="65"/>
      <c r="AB60" s="65"/>
      <c r="AC60" s="65"/>
      <c r="AD60" s="65"/>
      <c r="AE60" s="7">
        <f>'П.1.1 '!Q58</f>
        <v>7.1886618000000002</v>
      </c>
      <c r="AF60" s="7">
        <f>'П.1.1 '!R58</f>
        <v>7.4905855956000007</v>
      </c>
      <c r="AG60" s="7">
        <f>'П.1.1 '!S58</f>
        <v>14.3773236</v>
      </c>
      <c r="AH60" s="7">
        <f>'П.1.1 '!T58</f>
        <v>14.981171191200001</v>
      </c>
      <c r="AI60" s="7">
        <f>'П.1.1 '!U58</f>
        <v>15.610380381230401</v>
      </c>
      <c r="AJ60" s="7">
        <f t="shared" si="13"/>
        <v>59.648122568030402</v>
      </c>
    </row>
    <row r="61" spans="1:36" s="1" customFormat="1" ht="78.75" customHeight="1" x14ac:dyDescent="0.25">
      <c r="A61" s="12" t="str">
        <f>'П.1.1 '!A59</f>
        <v>2.1.12</v>
      </c>
      <c r="B61" s="9" t="str">
        <f>'П.1.1 '!B59</f>
        <v>Строительство распределительных сетей 10-0,4кВ в г.Тайшете и Тайшетском районе, г.Нижнеудинске.</v>
      </c>
      <c r="C61" s="8" t="str">
        <f>'П.1.1 '!C59</f>
        <v>O_2.1.18</v>
      </c>
      <c r="D61" s="5"/>
      <c r="E61" s="5"/>
      <c r="F61" s="5"/>
      <c r="G61" s="5"/>
      <c r="H61" s="5"/>
      <c r="I61" s="33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8" t="str">
        <f>'П.1.1 '!K59</f>
        <v>0,4 МВА 
1,7 км</v>
      </c>
      <c r="V61" s="8" t="str">
        <f>'П.1.1 '!L59</f>
        <v>0,4 МВА 
1,7 км</v>
      </c>
      <c r="W61" s="8" t="str">
        <f>'П.1.1 '!M59</f>
        <v>0,4 МВА 
1,7 км</v>
      </c>
      <c r="X61" s="8" t="str">
        <f>'П.1.1 '!N59</f>
        <v>0,4 МВА 
1,7 км</v>
      </c>
      <c r="Y61" s="8" t="str">
        <f>'П.1.1 '!O59</f>
        <v>0,4 МВА 
1,7 км</v>
      </c>
      <c r="Z61" s="8" t="str">
        <f>'П.1.1 '!P59</f>
        <v>2 МВА 
8,5 км</v>
      </c>
      <c r="AA61" s="5"/>
      <c r="AB61" s="5"/>
      <c r="AC61" s="5"/>
      <c r="AD61" s="5"/>
      <c r="AE61" s="7">
        <f>'П.1.1 '!Q59</f>
        <v>7.1886618000000002</v>
      </c>
      <c r="AF61" s="7">
        <f>'П.1.1 '!R59</f>
        <v>7.4905855956000007</v>
      </c>
      <c r="AG61" s="7">
        <f>'П.1.1 '!S59</f>
        <v>7.8051901906152006</v>
      </c>
      <c r="AH61" s="7">
        <f>'П.1.1 '!T59</f>
        <v>8.13300817862104</v>
      </c>
      <c r="AI61" s="7">
        <f>'П.1.1 '!U59</f>
        <v>8.4745945221231231</v>
      </c>
      <c r="AJ61" s="7">
        <f>SUM(AE61:AI61)</f>
        <v>39.09204028695936</v>
      </c>
    </row>
    <row r="62" spans="1:36" ht="18.75" x14ac:dyDescent="0.25">
      <c r="A62" s="12" t="s">
        <v>24</v>
      </c>
      <c r="B62" s="8"/>
      <c r="C62" s="8"/>
      <c r="D62" s="5"/>
      <c r="E62" s="5"/>
      <c r="F62" s="5"/>
      <c r="G62" s="5"/>
      <c r="H62" s="5"/>
      <c r="I62" s="33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7"/>
      <c r="Z62" s="7"/>
      <c r="AA62" s="7"/>
      <c r="AB62" s="7"/>
      <c r="AC62" s="27"/>
      <c r="AD62" s="7"/>
      <c r="AE62" s="7"/>
      <c r="AF62" s="7"/>
      <c r="AG62" s="7"/>
      <c r="AH62" s="7"/>
      <c r="AI62" s="7"/>
      <c r="AJ62" s="7"/>
    </row>
    <row r="63" spans="1:36" ht="18.75" x14ac:dyDescent="0.25">
      <c r="A63" s="38" t="s">
        <v>55</v>
      </c>
      <c r="B63" s="34" t="s">
        <v>56</v>
      </c>
      <c r="C63" s="34"/>
      <c r="D63" s="5"/>
      <c r="E63" s="5"/>
      <c r="F63" s="5"/>
      <c r="G63" s="5"/>
      <c r="H63" s="5"/>
      <c r="I63" s="33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7"/>
      <c r="Z63" s="7"/>
      <c r="AA63" s="7"/>
      <c r="AB63" s="7"/>
      <c r="AC63" s="27"/>
      <c r="AD63" s="7"/>
      <c r="AE63" s="7"/>
      <c r="AF63" s="7"/>
      <c r="AG63" s="7"/>
      <c r="AH63" s="7"/>
      <c r="AI63" s="7"/>
      <c r="AJ63" s="7"/>
    </row>
    <row r="64" spans="1:36" ht="18.75" x14ac:dyDescent="0.25">
      <c r="A64" s="39" t="s">
        <v>29</v>
      </c>
      <c r="B64" s="9" t="s">
        <v>27</v>
      </c>
      <c r="C64" s="9"/>
      <c r="D64" s="5"/>
      <c r="E64" s="5"/>
      <c r="F64" s="5"/>
      <c r="G64" s="5"/>
      <c r="H64" s="5"/>
      <c r="I64" s="33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</row>
    <row r="65" spans="1:220" ht="18.75" x14ac:dyDescent="0.25">
      <c r="A65" s="39"/>
      <c r="B65" s="9" t="s">
        <v>57</v>
      </c>
      <c r="C65" s="9"/>
      <c r="D65" s="5"/>
      <c r="E65" s="5"/>
      <c r="F65" s="5"/>
      <c r="G65" s="5"/>
      <c r="H65" s="5"/>
      <c r="I65" s="33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</row>
    <row r="66" spans="1:220" ht="18.75" x14ac:dyDescent="0.25">
      <c r="A66" s="39" t="s">
        <v>30</v>
      </c>
      <c r="B66" s="9" t="s">
        <v>28</v>
      </c>
      <c r="C66" s="9"/>
      <c r="D66" s="5"/>
      <c r="E66" s="5"/>
      <c r="F66" s="5"/>
      <c r="G66" s="5"/>
      <c r="H66" s="5"/>
      <c r="I66" s="33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</row>
    <row r="67" spans="1:220" ht="18.75" x14ac:dyDescent="0.25">
      <c r="A67" s="39"/>
      <c r="B67" s="9" t="s">
        <v>57</v>
      </c>
      <c r="C67" s="9"/>
      <c r="D67" s="5"/>
      <c r="E67" s="5"/>
      <c r="F67" s="5"/>
      <c r="G67" s="5"/>
      <c r="H67" s="5"/>
      <c r="I67" s="33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</row>
    <row r="68" spans="1:220" ht="18.75" x14ac:dyDescent="0.25">
      <c r="A68" s="12" t="s">
        <v>24</v>
      </c>
      <c r="B68" s="8"/>
      <c r="C68" s="8"/>
      <c r="D68" s="5"/>
      <c r="E68" s="5"/>
      <c r="F68" s="5"/>
      <c r="G68" s="5"/>
      <c r="H68" s="5"/>
      <c r="I68" s="33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</row>
    <row r="69" spans="1:220" ht="18.75" x14ac:dyDescent="0.25">
      <c r="A69" s="149" t="s">
        <v>58</v>
      </c>
      <c r="B69" s="149"/>
      <c r="C69" s="71"/>
      <c r="D69" s="5"/>
      <c r="E69" s="5"/>
      <c r="F69" s="5"/>
      <c r="G69" s="5"/>
      <c r="H69" s="5"/>
      <c r="I69" s="33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</row>
    <row r="70" spans="1:220" ht="37.5" x14ac:dyDescent="0.25">
      <c r="A70" s="39"/>
      <c r="B70" s="34" t="s">
        <v>59</v>
      </c>
      <c r="C70" s="34"/>
      <c r="D70" s="5"/>
      <c r="E70" s="5"/>
      <c r="F70" s="5"/>
      <c r="G70" s="5"/>
      <c r="H70" s="5"/>
      <c r="I70" s="33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7"/>
      <c r="Z70" s="7"/>
      <c r="AA70" s="7"/>
      <c r="AB70" s="7"/>
      <c r="AC70" s="7"/>
      <c r="AD70" s="7"/>
      <c r="AE70" s="17">
        <f>AE71</f>
        <v>33.099156000000001</v>
      </c>
      <c r="AF70" s="17"/>
      <c r="AG70" s="17"/>
      <c r="AH70" s="17"/>
      <c r="AI70" s="17"/>
      <c r="AJ70" s="17">
        <f>SUM(AE70:AI70)</f>
        <v>33.099156000000001</v>
      </c>
    </row>
    <row r="71" spans="1:220" ht="18.75" x14ac:dyDescent="0.25">
      <c r="A71" s="12" t="str">
        <f>'П.1.1 '!A68</f>
        <v>1</v>
      </c>
      <c r="B71" s="9" t="str">
        <f>'П.1.1 '!B68</f>
        <v>Возврат заемных средств</v>
      </c>
      <c r="C71" s="9"/>
      <c r="D71" s="5"/>
      <c r="E71" s="5"/>
      <c r="F71" s="5"/>
      <c r="G71" s="5"/>
      <c r="H71" s="5"/>
      <c r="I71" s="33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7"/>
      <c r="Z71" s="7"/>
      <c r="AA71" s="7"/>
      <c r="AB71" s="7"/>
      <c r="AC71" s="7"/>
      <c r="AD71" s="7"/>
      <c r="AE71" s="7">
        <f>'П.1.1 '!Q68</f>
        <v>33.099156000000001</v>
      </c>
      <c r="AF71" s="7"/>
      <c r="AG71" s="7"/>
      <c r="AH71" s="7"/>
      <c r="AI71" s="7"/>
      <c r="AJ71" s="7">
        <f>SUM(AE71:AI71)</f>
        <v>33.099156000000001</v>
      </c>
    </row>
    <row r="72" spans="1:220" ht="18.75" x14ac:dyDescent="0.25">
      <c r="A72" s="12" t="s">
        <v>30</v>
      </c>
      <c r="B72" s="9" t="s">
        <v>28</v>
      </c>
      <c r="C72" s="9"/>
      <c r="D72" s="5"/>
      <c r="E72" s="5"/>
      <c r="F72" s="5"/>
      <c r="G72" s="5"/>
      <c r="H72" s="5"/>
      <c r="I72" s="33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</row>
    <row r="73" spans="1:220" ht="18.75" x14ac:dyDescent="0.25">
      <c r="A73" s="12" t="s">
        <v>24</v>
      </c>
      <c r="B73" s="8"/>
      <c r="C73" s="8"/>
      <c r="D73" s="5"/>
      <c r="E73" s="5"/>
      <c r="F73" s="5"/>
      <c r="G73" s="5"/>
      <c r="H73" s="5"/>
      <c r="I73" s="33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</row>
    <row r="74" spans="1:220" ht="23.25" x14ac:dyDescent="0.35">
      <c r="P74" s="31"/>
      <c r="Q74" s="31"/>
      <c r="R74" s="31"/>
      <c r="S74" s="31"/>
      <c r="T74" s="32"/>
    </row>
    <row r="75" spans="1:220" s="2" customFormat="1" x14ac:dyDescent="0.25">
      <c r="A75" s="42" t="s">
        <v>81</v>
      </c>
      <c r="B75" s="43" t="s">
        <v>82</v>
      </c>
      <c r="C75" s="43"/>
    </row>
    <row r="76" spans="1:220" s="2" customFormat="1" x14ac:dyDescent="0.25">
      <c r="A76" s="42" t="s">
        <v>83</v>
      </c>
      <c r="B76" s="44" t="s">
        <v>84</v>
      </c>
      <c r="C76" s="44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</row>
    <row r="77" spans="1:220" s="2" customFormat="1" x14ac:dyDescent="0.25">
      <c r="A77" s="42" t="s">
        <v>85</v>
      </c>
      <c r="B77" s="43" t="s">
        <v>86</v>
      </c>
      <c r="C77" s="43"/>
    </row>
    <row r="78" spans="1:220" s="2" customFormat="1" ht="27" customHeight="1" x14ac:dyDescent="0.25">
      <c r="B78" s="43" t="s">
        <v>87</v>
      </c>
      <c r="C78" s="43"/>
    </row>
    <row r="79" spans="1:220" x14ac:dyDescent="0.25">
      <c r="B79" s="10"/>
      <c r="C79" s="10"/>
    </row>
  </sheetData>
  <mergeCells count="32">
    <mergeCell ref="AG8:AJ8"/>
    <mergeCell ref="AI14:AI15"/>
    <mergeCell ref="AJ14:AJ15"/>
    <mergeCell ref="AH7:AJ7"/>
    <mergeCell ref="AH1:AJ1"/>
    <mergeCell ref="AH2:AJ2"/>
    <mergeCell ref="AH3:AJ3"/>
    <mergeCell ref="AH4:AJ4"/>
    <mergeCell ref="A10:AJ10"/>
    <mergeCell ref="A11:AJ11"/>
    <mergeCell ref="V14:V15"/>
    <mergeCell ref="D13:I14"/>
    <mergeCell ref="J13:O14"/>
    <mergeCell ref="P13:P15"/>
    <mergeCell ref="Q16:Z16"/>
    <mergeCell ref="AA14:AE14"/>
    <mergeCell ref="AF14:AF15"/>
    <mergeCell ref="AG14:AG15"/>
    <mergeCell ref="Q13:AJ13"/>
    <mergeCell ref="Q14:U14"/>
    <mergeCell ref="W14:W15"/>
    <mergeCell ref="X14:X15"/>
    <mergeCell ref="Y14:Y15"/>
    <mergeCell ref="Z14:Z15"/>
    <mergeCell ref="AA16:AJ16"/>
    <mergeCell ref="AH14:AH15"/>
    <mergeCell ref="A69:B69"/>
    <mergeCell ref="D15:I15"/>
    <mergeCell ref="B13:B15"/>
    <mergeCell ref="A13:A15"/>
    <mergeCell ref="J15:O15"/>
    <mergeCell ref="C13:C15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8" scale="52" fitToHeight="0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64"/>
  <sheetViews>
    <sheetView view="pageBreakPreview" topLeftCell="A22" zoomScale="60" zoomScaleNormal="60" workbookViewId="0">
      <selection activeCell="B27" sqref="B27"/>
    </sheetView>
  </sheetViews>
  <sheetFormatPr defaultRowHeight="15.75" x14ac:dyDescent="0.25"/>
  <cols>
    <col min="1" max="1" width="10.42578125" style="35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30" customWidth="1"/>
    <col min="25" max="25" width="10" style="30" customWidth="1"/>
    <col min="26" max="26" width="10.85546875" style="30" customWidth="1"/>
    <col min="27" max="27" width="12.42578125" style="30" customWidth="1"/>
  </cols>
  <sheetData>
    <row r="1" spans="1:27" ht="51" customHeight="1" x14ac:dyDescent="0.25">
      <c r="X1" s="139" t="s">
        <v>105</v>
      </c>
      <c r="Y1" s="139"/>
      <c r="Z1" s="139"/>
      <c r="AA1" s="139"/>
    </row>
    <row r="2" spans="1:27" ht="18.75" x14ac:dyDescent="0.3">
      <c r="X2" s="140" t="s">
        <v>12</v>
      </c>
      <c r="Y2" s="140"/>
      <c r="Z2" s="140"/>
      <c r="AA2" s="4"/>
    </row>
    <row r="3" spans="1:27" ht="18.75" x14ac:dyDescent="0.3">
      <c r="X3" s="140" t="s">
        <v>168</v>
      </c>
      <c r="Y3" s="140"/>
      <c r="Z3" s="140"/>
      <c r="AA3"/>
    </row>
    <row r="4" spans="1:27" ht="18.75" customHeight="1" x14ac:dyDescent="0.25">
      <c r="X4" s="141" t="s">
        <v>88</v>
      </c>
      <c r="Y4" s="141"/>
      <c r="Z4" s="141"/>
      <c r="AA4"/>
    </row>
    <row r="5" spans="1:27" ht="18.75" x14ac:dyDescent="0.25">
      <c r="X5" s="142" t="s">
        <v>169</v>
      </c>
      <c r="Y5" s="142"/>
      <c r="Z5" s="142"/>
      <c r="AA5" s="142"/>
    </row>
    <row r="6" spans="1:27" ht="18.75" x14ac:dyDescent="0.3">
      <c r="X6" s="59"/>
      <c r="Y6" s="60"/>
      <c r="Z6" s="60"/>
      <c r="AA6" s="60"/>
    </row>
    <row r="7" spans="1:27" ht="18.75" x14ac:dyDescent="0.25">
      <c r="X7" s="4"/>
      <c r="Y7" s="165" t="s">
        <v>13</v>
      </c>
      <c r="Z7" s="165"/>
      <c r="AA7" s="165"/>
    </row>
    <row r="8" spans="1:27" ht="18.75" x14ac:dyDescent="0.3">
      <c r="V8" s="28"/>
      <c r="W8" s="28"/>
      <c r="X8" s="163" t="s">
        <v>182</v>
      </c>
      <c r="Y8" s="163"/>
      <c r="Z8" s="163"/>
      <c r="AA8" s="163"/>
    </row>
    <row r="9" spans="1:27" ht="18.75" x14ac:dyDescent="0.3">
      <c r="X9" s="4"/>
      <c r="Y9" s="21"/>
      <c r="Z9" s="21"/>
      <c r="AA9" s="52" t="s">
        <v>14</v>
      </c>
    </row>
    <row r="10" spans="1:27" ht="22.5" x14ac:dyDescent="0.25">
      <c r="A10" s="152" t="s">
        <v>103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</row>
    <row r="11" spans="1:27" ht="22.5" x14ac:dyDescent="0.25">
      <c r="A11" s="152" t="s">
        <v>233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</row>
    <row r="12" spans="1:27" x14ac:dyDescent="0.25"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spans="1:27" ht="58.5" customHeight="1" x14ac:dyDescent="0.25">
      <c r="A13" s="144" t="s">
        <v>0</v>
      </c>
      <c r="B13" s="144" t="s">
        <v>106</v>
      </c>
      <c r="C13" s="144" t="s">
        <v>107</v>
      </c>
      <c r="D13" s="156" t="s">
        <v>108</v>
      </c>
      <c r="E13" s="144" t="s">
        <v>109</v>
      </c>
      <c r="F13" s="144"/>
      <c r="G13" s="144"/>
      <c r="H13" s="159" t="s">
        <v>110</v>
      </c>
      <c r="I13" s="144" t="s">
        <v>111</v>
      </c>
      <c r="J13" s="144"/>
      <c r="K13" s="144" t="s">
        <v>112</v>
      </c>
      <c r="L13" s="144"/>
      <c r="M13" s="144"/>
      <c r="N13" s="144"/>
      <c r="O13" s="156" t="s">
        <v>113</v>
      </c>
      <c r="P13" s="144" t="s">
        <v>114</v>
      </c>
      <c r="Q13" s="144" t="s">
        <v>115</v>
      </c>
      <c r="R13" s="144"/>
      <c r="S13" s="144" t="s">
        <v>116</v>
      </c>
      <c r="T13" s="144"/>
      <c r="U13" s="144" t="s">
        <v>117</v>
      </c>
      <c r="V13" s="144"/>
      <c r="W13" s="144"/>
      <c r="X13" s="144" t="s">
        <v>118</v>
      </c>
      <c r="Y13" s="144"/>
      <c r="Z13" s="144"/>
      <c r="AA13" s="144"/>
    </row>
    <row r="14" spans="1:27" ht="48.75" customHeight="1" x14ac:dyDescent="0.25">
      <c r="A14" s="144"/>
      <c r="B14" s="144"/>
      <c r="C14" s="144"/>
      <c r="D14" s="157"/>
      <c r="E14" s="156" t="s">
        <v>119</v>
      </c>
      <c r="F14" s="156" t="s">
        <v>120</v>
      </c>
      <c r="G14" s="156" t="s">
        <v>121</v>
      </c>
      <c r="H14" s="160"/>
      <c r="I14" s="144" t="s">
        <v>122</v>
      </c>
      <c r="J14" s="144" t="s">
        <v>123</v>
      </c>
      <c r="K14" s="170" t="s">
        <v>124</v>
      </c>
      <c r="L14" s="170" t="s">
        <v>125</v>
      </c>
      <c r="M14" s="159" t="s">
        <v>126</v>
      </c>
      <c r="N14" s="170" t="s">
        <v>127</v>
      </c>
      <c r="O14" s="157"/>
      <c r="P14" s="144"/>
      <c r="Q14" s="144" t="s">
        <v>128</v>
      </c>
      <c r="R14" s="156" t="s">
        <v>129</v>
      </c>
      <c r="S14" s="144" t="s">
        <v>128</v>
      </c>
      <c r="T14" s="144" t="s">
        <v>129</v>
      </c>
      <c r="U14" s="159" t="s">
        <v>130</v>
      </c>
      <c r="V14" s="159" t="s">
        <v>131</v>
      </c>
      <c r="W14" s="156" t="s">
        <v>132</v>
      </c>
      <c r="X14" s="144" t="s">
        <v>133</v>
      </c>
      <c r="Y14" s="144"/>
      <c r="Z14" s="144" t="s">
        <v>134</v>
      </c>
      <c r="AA14" s="144"/>
    </row>
    <row r="15" spans="1:27" ht="58.5" customHeight="1" x14ac:dyDescent="0.25">
      <c r="A15" s="144"/>
      <c r="B15" s="144"/>
      <c r="C15" s="144"/>
      <c r="D15" s="157"/>
      <c r="E15" s="157"/>
      <c r="F15" s="157"/>
      <c r="G15" s="157"/>
      <c r="H15" s="160"/>
      <c r="I15" s="144"/>
      <c r="J15" s="144"/>
      <c r="K15" s="170"/>
      <c r="L15" s="170"/>
      <c r="M15" s="160"/>
      <c r="N15" s="170"/>
      <c r="O15" s="157"/>
      <c r="P15" s="144"/>
      <c r="Q15" s="144"/>
      <c r="R15" s="157"/>
      <c r="S15" s="144"/>
      <c r="T15" s="144"/>
      <c r="U15" s="160"/>
      <c r="V15" s="160"/>
      <c r="W15" s="157"/>
      <c r="X15" s="144"/>
      <c r="Y15" s="144"/>
      <c r="Z15" s="144"/>
      <c r="AA15" s="144"/>
    </row>
    <row r="16" spans="1:27" ht="238.5" customHeight="1" x14ac:dyDescent="0.25">
      <c r="A16" s="144"/>
      <c r="B16" s="144"/>
      <c r="C16" s="144"/>
      <c r="D16" s="158"/>
      <c r="E16" s="158"/>
      <c r="F16" s="158"/>
      <c r="G16" s="158"/>
      <c r="H16" s="161"/>
      <c r="I16" s="144"/>
      <c r="J16" s="144"/>
      <c r="K16" s="170"/>
      <c r="L16" s="170"/>
      <c r="M16" s="161"/>
      <c r="N16" s="170"/>
      <c r="O16" s="158"/>
      <c r="P16" s="144"/>
      <c r="Q16" s="144"/>
      <c r="R16" s="158"/>
      <c r="S16" s="144"/>
      <c r="T16" s="144"/>
      <c r="U16" s="161"/>
      <c r="V16" s="161"/>
      <c r="W16" s="158"/>
      <c r="X16" s="34" t="s">
        <v>135</v>
      </c>
      <c r="Y16" s="34" t="s">
        <v>136</v>
      </c>
      <c r="Z16" s="36" t="s">
        <v>137</v>
      </c>
      <c r="AA16" s="34" t="s">
        <v>138</v>
      </c>
    </row>
    <row r="17" spans="1:27" ht="151.9" customHeight="1" x14ac:dyDescent="0.25">
      <c r="A17" s="12" t="str">
        <f>'П.1.1 '!A19</f>
        <v>1.1.1</v>
      </c>
      <c r="B17" s="9" t="str">
        <f>'П.1.1 '!B19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17" s="8" t="s">
        <v>139</v>
      </c>
      <c r="D17" s="8" t="s">
        <v>140</v>
      </c>
      <c r="E17" s="8">
        <v>25.2</v>
      </c>
      <c r="F17" s="13"/>
      <c r="G17" s="13">
        <v>27</v>
      </c>
      <c r="H17" s="61"/>
      <c r="I17" s="13">
        <f>'П.1.1 '!F19</f>
        <v>2025</v>
      </c>
      <c r="J17" s="13">
        <f>'П.1.1 '!G19</f>
        <v>2029</v>
      </c>
      <c r="K17" s="13"/>
      <c r="L17" s="13"/>
      <c r="M17" s="8"/>
      <c r="N17" s="13"/>
      <c r="O17" s="13"/>
      <c r="P17" s="13"/>
      <c r="Q17" s="7">
        <f>'П.1.1 '!V19</f>
        <v>303.30690250607256</v>
      </c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199.9" customHeight="1" x14ac:dyDescent="0.25">
      <c r="A18" s="12" t="str">
        <f>'П.1.1 '!A20</f>
        <v>1.1.2</v>
      </c>
      <c r="B18" s="9" t="str">
        <f>'П.1.1 '!B20</f>
        <v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18" s="8" t="s">
        <v>139</v>
      </c>
      <c r="D18" s="8" t="s">
        <v>141</v>
      </c>
      <c r="E18" s="8">
        <v>4</v>
      </c>
      <c r="F18" s="13"/>
      <c r="G18" s="13">
        <v>17</v>
      </c>
      <c r="H18" s="61"/>
      <c r="I18" s="13">
        <f>'П.1.1 '!F20</f>
        <v>2025</v>
      </c>
      <c r="J18" s="13">
        <f>'П.1.1 '!G20</f>
        <v>2029</v>
      </c>
      <c r="K18" s="13"/>
      <c r="L18" s="13"/>
      <c r="M18" s="8"/>
      <c r="N18" s="13"/>
      <c r="O18" s="13"/>
      <c r="P18" s="13"/>
      <c r="Q18" s="7">
        <f>'П.1.1 '!V20</f>
        <v>78.18408057391872</v>
      </c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162" customHeight="1" x14ac:dyDescent="0.25">
      <c r="A19" s="12" t="str">
        <f>'П.1.1 '!A21</f>
        <v>1.1.3</v>
      </c>
      <c r="B19" s="9" t="str">
        <f>'П.1.1 '!B21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19" s="8" t="s">
        <v>139</v>
      </c>
      <c r="D19" s="8" t="s">
        <v>142</v>
      </c>
      <c r="E19" s="8">
        <v>2</v>
      </c>
      <c r="F19" s="13"/>
      <c r="G19" s="13">
        <v>8.5</v>
      </c>
      <c r="H19" s="54"/>
      <c r="I19" s="13">
        <f>'П.1.1 '!F21</f>
        <v>2025</v>
      </c>
      <c r="J19" s="13">
        <f>'П.1.1 '!G21</f>
        <v>2029</v>
      </c>
      <c r="K19" s="13"/>
      <c r="L19" s="13"/>
      <c r="M19" s="8"/>
      <c r="N19" s="13"/>
      <c r="O19" s="13"/>
      <c r="P19" s="13"/>
      <c r="Q19" s="7">
        <f>'П.1.1 '!V21</f>
        <v>39.09204028695936</v>
      </c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196.9" customHeight="1" x14ac:dyDescent="0.25">
      <c r="A20" s="12" t="str">
        <f>'П.1.1 '!A22</f>
        <v>1.1.4</v>
      </c>
      <c r="B20" s="9" t="str">
        <f>'П.1.1 '!B22</f>
        <v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0" s="8" t="s">
        <v>139</v>
      </c>
      <c r="D20" s="8" t="s">
        <v>143</v>
      </c>
      <c r="E20" s="8">
        <v>2</v>
      </c>
      <c r="F20" s="13"/>
      <c r="G20" s="13">
        <v>11</v>
      </c>
      <c r="H20" s="54"/>
      <c r="I20" s="13">
        <f>'П.1.1 '!F22</f>
        <v>2025</v>
      </c>
      <c r="J20" s="13">
        <f>'П.1.1 '!G22</f>
        <v>2029</v>
      </c>
      <c r="K20" s="13"/>
      <c r="L20" s="13"/>
      <c r="M20" s="8"/>
      <c r="N20" s="13"/>
      <c r="O20" s="13"/>
      <c r="P20" s="13"/>
      <c r="Q20" s="7">
        <f>'П.1.1 '!V22</f>
        <v>66.842767242619217</v>
      </c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147" customHeight="1" x14ac:dyDescent="0.25">
      <c r="A21" s="12" t="str">
        <f>'П.1.1 '!A23</f>
        <v>1.1.5</v>
      </c>
      <c r="B21" s="9" t="str">
        <f>'П.1.1 '!B23</f>
        <v>Реконструкция ПС 35/10 кВ "Кургат" в п.Прибрежный Братского района</v>
      </c>
      <c r="C21" s="8" t="s">
        <v>139</v>
      </c>
      <c r="D21" s="8" t="s">
        <v>172</v>
      </c>
      <c r="E21" s="8">
        <v>8</v>
      </c>
      <c r="F21" s="13"/>
      <c r="G21" s="13"/>
      <c r="H21" s="54"/>
      <c r="I21" s="13">
        <f>'П.1.1 '!F23</f>
        <v>2024</v>
      </c>
      <c r="J21" s="13">
        <f>'П.1.1 '!G23</f>
        <v>2025</v>
      </c>
      <c r="K21" s="13"/>
      <c r="L21" s="13"/>
      <c r="M21" s="8"/>
      <c r="N21" s="13"/>
      <c r="O21" s="13"/>
      <c r="P21" s="13"/>
      <c r="Q21" s="7">
        <f>'П.1.1 '!V23</f>
        <v>42.870111259999995</v>
      </c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ht="93" customHeight="1" x14ac:dyDescent="0.25">
      <c r="A22" s="12" t="str">
        <f>'П.1.1 '!A24</f>
        <v>1.1.6</v>
      </c>
      <c r="B22" s="9" t="str">
        <f>'П.1.1 '!B24</f>
        <v xml:space="preserve">Реконструкция ПС 35/6 кВ "Боково" с заменой силовых трансформаторов на трансформаторы большей мощности </v>
      </c>
      <c r="C22" s="8" t="s">
        <v>139</v>
      </c>
      <c r="D22" s="8" t="s">
        <v>145</v>
      </c>
      <c r="E22" s="8">
        <v>50</v>
      </c>
      <c r="F22" s="13"/>
      <c r="G22" s="13"/>
      <c r="H22" s="54"/>
      <c r="I22" s="13">
        <f>'П.1.1 '!F24</f>
        <v>2027</v>
      </c>
      <c r="J22" s="13">
        <f>'П.1.1 '!G24</f>
        <v>2029</v>
      </c>
      <c r="K22" s="13"/>
      <c r="L22" s="13"/>
      <c r="M22" s="8"/>
      <c r="N22" s="13"/>
      <c r="O22" s="13"/>
      <c r="P22" s="13"/>
      <c r="Q22" s="7">
        <f>'П.1.1 '!V24</f>
        <v>288.80708962152977</v>
      </c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ht="174" customHeight="1" x14ac:dyDescent="0.25">
      <c r="A23" s="12" t="str">
        <f>'П.1.1 '!A25</f>
        <v>1.1.7</v>
      </c>
      <c r="B23" s="9" t="str">
        <f>'П.1.1 '!B25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3" s="8" t="s">
        <v>139</v>
      </c>
      <c r="D23" s="8" t="s">
        <v>144</v>
      </c>
      <c r="E23" s="8">
        <v>2</v>
      </c>
      <c r="F23" s="13"/>
      <c r="G23" s="13">
        <v>1</v>
      </c>
      <c r="H23" s="54"/>
      <c r="I23" s="13">
        <f>'П.1.1 '!F25</f>
        <v>2025</v>
      </c>
      <c r="J23" s="13">
        <f>'П.1.1 '!G25</f>
        <v>2029</v>
      </c>
      <c r="K23" s="13"/>
      <c r="L23" s="13"/>
      <c r="M23" s="8"/>
      <c r="N23" s="13"/>
      <c r="O23" s="13"/>
      <c r="P23" s="13"/>
      <c r="Q23" s="7">
        <f>'П.1.1 '!V25</f>
        <v>14.333623792228641</v>
      </c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52.5" customHeight="1" x14ac:dyDescent="0.25">
      <c r="A24" s="12" t="str">
        <f>'П.1.1 '!A26</f>
        <v>1.1.8</v>
      </c>
      <c r="B24" s="73" t="str">
        <f>'П.1.1 '!B26</f>
        <v>Реконструкция ПС 35/6 кВ "ИОРТПЦ" в Ангарском ГО п.Мегет</v>
      </c>
      <c r="C24" s="8" t="s">
        <v>139</v>
      </c>
      <c r="D24" s="8" t="s">
        <v>220</v>
      </c>
      <c r="E24" s="8">
        <v>32</v>
      </c>
      <c r="F24" s="13"/>
      <c r="G24" s="13"/>
      <c r="H24" s="54"/>
      <c r="I24" s="13">
        <f>'П.1.1 '!F26</f>
        <v>2024</v>
      </c>
      <c r="J24" s="13">
        <f>'П.1.1 '!G26</f>
        <v>2029</v>
      </c>
      <c r="K24" s="13"/>
      <c r="L24" s="13"/>
      <c r="M24" s="8"/>
      <c r="N24" s="13"/>
      <c r="O24" s="13"/>
      <c r="P24" s="13"/>
      <c r="Q24" s="7">
        <f>'П.1.1 '!V26</f>
        <v>402.28465892300062</v>
      </c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26.75" customHeight="1" x14ac:dyDescent="0.25">
      <c r="A25" s="12" t="str">
        <f>'П.1.1 '!A27</f>
        <v>1.1.9</v>
      </c>
      <c r="B25" s="9" t="str">
        <f>'П.1.1 '!B27</f>
        <v xml:space="preserve">Замена существующего силового трансформатора напряжением 110/10 кВ мощностью 40 МВА на ПС 110/10 кВ Солнечная на новый силовой трансформатор (без увеличения мощности). Иркутская область, город Вихоревка. </v>
      </c>
      <c r="C25" s="8" t="s">
        <v>139</v>
      </c>
      <c r="D25" s="8" t="s">
        <v>221</v>
      </c>
      <c r="E25" s="8">
        <v>40</v>
      </c>
      <c r="F25" s="13"/>
      <c r="G25" s="13"/>
      <c r="H25" s="54"/>
      <c r="I25" s="13">
        <f>'П.1.1 '!F27</f>
        <v>2025</v>
      </c>
      <c r="J25" s="13">
        <f>'П.1.1 '!G27</f>
        <v>2026</v>
      </c>
      <c r="K25" s="13"/>
      <c r="L25" s="13"/>
      <c r="M25" s="8"/>
      <c r="N25" s="13"/>
      <c r="O25" s="13"/>
      <c r="P25" s="13"/>
      <c r="Q25" s="7">
        <f>'П.1.1 '!V27</f>
        <v>117.46436</v>
      </c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1" customFormat="1" ht="43.5" customHeight="1" x14ac:dyDescent="0.25">
      <c r="A26" s="12" t="str">
        <f>'П.1.1 '!A42</f>
        <v>1.5.1</v>
      </c>
      <c r="B26" s="9" t="str">
        <f>'П.1.1 '!B42</f>
        <v>Приобретение автотехники</v>
      </c>
      <c r="C26" s="8" t="s">
        <v>139</v>
      </c>
      <c r="D26" s="8"/>
      <c r="E26" s="13"/>
      <c r="F26" s="13"/>
      <c r="G26" s="13"/>
      <c r="H26" s="54"/>
      <c r="I26" s="13">
        <f>'П.1.1 '!F42</f>
        <v>2025</v>
      </c>
      <c r="J26" s="13">
        <f>'П.1.1 '!G42</f>
        <v>2029</v>
      </c>
      <c r="K26" s="13"/>
      <c r="L26" s="13"/>
      <c r="M26" s="8"/>
      <c r="N26" s="8"/>
      <c r="O26" s="13"/>
      <c r="P26" s="13"/>
      <c r="Q26" s="7">
        <f>'П.1.1 '!V42</f>
        <v>324.07848899999999</v>
      </c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1" customFormat="1" ht="41.25" customHeight="1" x14ac:dyDescent="0.25">
      <c r="A27" s="12" t="str">
        <f>'П.1.1 '!A43</f>
        <v>1.5.2</v>
      </c>
      <c r="B27" s="9" t="str">
        <f>'П.1.1 '!B43</f>
        <v>Програмное обеспечение и орг.техника</v>
      </c>
      <c r="C27" s="8" t="s">
        <v>139</v>
      </c>
      <c r="D27" s="8"/>
      <c r="E27" s="13"/>
      <c r="F27" s="13"/>
      <c r="G27" s="13"/>
      <c r="H27" s="54"/>
      <c r="I27" s="13">
        <f>'П.1.1 '!F43</f>
        <v>2025</v>
      </c>
      <c r="J27" s="13">
        <f>'П.1.1 '!G43</f>
        <v>2029</v>
      </c>
      <c r="K27" s="13"/>
      <c r="L27" s="13"/>
      <c r="M27" s="8"/>
      <c r="N27" s="8"/>
      <c r="O27" s="13"/>
      <c r="P27" s="13"/>
      <c r="Q27" s="7">
        <f>'П.1.1 '!V43</f>
        <v>55.335322053179603</v>
      </c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1" customFormat="1" ht="45" customHeight="1" x14ac:dyDescent="0.25">
      <c r="A28" s="12" t="str">
        <f>'П.1.1 '!A44</f>
        <v>1.5.3</v>
      </c>
      <c r="B28" s="9" t="str">
        <f>'П.1.1 '!B44</f>
        <v>Реконструкция и строительство производственных баз АО "БЭСК"</v>
      </c>
      <c r="C28" s="8" t="s">
        <v>139</v>
      </c>
      <c r="D28" s="8"/>
      <c r="E28" s="13"/>
      <c r="F28" s="13"/>
      <c r="G28" s="13"/>
      <c r="H28" s="54"/>
      <c r="I28" s="13">
        <f>'П.1.1 '!F44</f>
        <v>2025</v>
      </c>
      <c r="J28" s="13">
        <f>'П.1.1 '!G44</f>
        <v>2029</v>
      </c>
      <c r="K28" s="13"/>
      <c r="L28" s="13"/>
      <c r="M28" s="8"/>
      <c r="N28" s="8"/>
      <c r="O28" s="13"/>
      <c r="P28" s="13"/>
      <c r="Q28" s="7">
        <f>'П.1.1 '!V44</f>
        <v>79.63427045103623</v>
      </c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215.25" customHeight="1" x14ac:dyDescent="0.25">
      <c r="A29" s="12" t="str">
        <f>'П.1.1 '!A48</f>
        <v>2.1.1</v>
      </c>
      <c r="B29" s="9" t="str">
        <f>'П.1.1 '!B48</f>
        <v>Автоматизированная 
информационно-измерительная система  учета электроэнергии АО «БЭСК»</v>
      </c>
      <c r="C29" s="8" t="s">
        <v>139</v>
      </c>
      <c r="D29" s="8" t="s">
        <v>139</v>
      </c>
      <c r="E29" s="13"/>
      <c r="F29" s="13"/>
      <c r="G29" s="13"/>
      <c r="H29" s="54"/>
      <c r="I29" s="8">
        <f>'П.1.1 '!F48</f>
        <v>2025</v>
      </c>
      <c r="J29" s="8">
        <f>'П.1.1 '!G48</f>
        <v>2029</v>
      </c>
      <c r="K29" s="13"/>
      <c r="L29" s="13"/>
      <c r="M29" s="8"/>
      <c r="N29" s="13"/>
      <c r="O29" s="13"/>
      <c r="P29" s="13"/>
      <c r="Q29" s="7">
        <f>'П.1.1 '!V48</f>
        <v>81.24483840000002</v>
      </c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ht="82.9" customHeight="1" x14ac:dyDescent="0.25">
      <c r="A30" s="12" t="str">
        <f>'П.1.1 '!A49</f>
        <v>2.1.2</v>
      </c>
      <c r="B30" s="9" t="str">
        <f>'П.1.1 '!B49</f>
        <v>Строительство ЛЭП-10 кВ от поселка Тамтачет через поселок Полинчет до поселка Кондратьево в Тайшетском районе</v>
      </c>
      <c r="C30" s="8" t="s">
        <v>139</v>
      </c>
      <c r="D30" s="8" t="s">
        <v>157</v>
      </c>
      <c r="E30" s="13"/>
      <c r="F30" s="13"/>
      <c r="G30" s="13">
        <v>33.65</v>
      </c>
      <c r="H30" s="54"/>
      <c r="I30" s="8">
        <f>'П.1.1 '!F49</f>
        <v>2022</v>
      </c>
      <c r="J30" s="8">
        <f>'П.1.1 '!G49</f>
        <v>2026</v>
      </c>
      <c r="K30" s="13"/>
      <c r="L30" s="13"/>
      <c r="M30" s="8"/>
      <c r="N30" s="13"/>
      <c r="O30" s="13"/>
      <c r="P30" s="13"/>
      <c r="Q30" s="7">
        <f>'П.1.1 '!V49</f>
        <v>95.765506200000019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ht="100.9" customHeight="1" x14ac:dyDescent="0.25">
      <c r="A31" s="12" t="str">
        <f>'П.1.1 '!A50</f>
        <v>2.1.3</v>
      </c>
      <c r="B31" s="9" t="str">
        <f>'П.1.1 '!B50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</v>
      </c>
      <c r="C31" s="8" t="s">
        <v>139</v>
      </c>
      <c r="D31" s="8" t="s">
        <v>143</v>
      </c>
      <c r="E31" s="13">
        <v>2</v>
      </c>
      <c r="F31" s="13"/>
      <c r="G31" s="13">
        <v>24.6</v>
      </c>
      <c r="H31" s="54"/>
      <c r="I31" s="8">
        <f>'П.1.1 '!F50</f>
        <v>2025</v>
      </c>
      <c r="J31" s="8">
        <f>'П.1.1 '!G50</f>
        <v>2029</v>
      </c>
      <c r="K31" s="13"/>
      <c r="L31" s="13"/>
      <c r="M31" s="8"/>
      <c r="N31" s="13"/>
      <c r="O31" s="13"/>
      <c r="P31" s="13"/>
      <c r="Q31" s="7">
        <f>'П.1.1 '!V50</f>
        <v>192.59574356483625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ht="61.9" customHeight="1" x14ac:dyDescent="0.25">
      <c r="A32" s="12" t="str">
        <f>'П.1.1 '!A51</f>
        <v>2.1.4</v>
      </c>
      <c r="B32" s="9" t="str">
        <f>'П.1.1 '!B51</f>
        <v>Строительство электрических сетей напряжением 10(6)-0,4кВ в городе Усть-Илимске</v>
      </c>
      <c r="C32" s="8" t="s">
        <v>139</v>
      </c>
      <c r="D32" s="8" t="s">
        <v>144</v>
      </c>
      <c r="E32" s="13">
        <v>2</v>
      </c>
      <c r="F32" s="13"/>
      <c r="G32" s="13">
        <v>8.5</v>
      </c>
      <c r="H32" s="54"/>
      <c r="I32" s="8">
        <f>'П.1.1 '!F51</f>
        <v>2025</v>
      </c>
      <c r="J32" s="8">
        <f>'П.1.1 '!G51</f>
        <v>2029</v>
      </c>
      <c r="K32" s="13"/>
      <c r="L32" s="13"/>
      <c r="M32" s="8"/>
      <c r="N32" s="13"/>
      <c r="O32" s="13"/>
      <c r="P32" s="13"/>
      <c r="Q32" s="7">
        <f>'П.1.1 '!V51</f>
        <v>39.09204028695936</v>
      </c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ht="99" customHeight="1" x14ac:dyDescent="0.25">
      <c r="A33" s="12" t="str">
        <f>'П.1.1 '!A52</f>
        <v>2.1.5</v>
      </c>
      <c r="B33" s="9" t="str">
        <f>'П.1.1 '!B52</f>
        <v>Строительство электрических сетей в жилом районе Порожский, городе Братске</v>
      </c>
      <c r="C33" s="8" t="s">
        <v>139</v>
      </c>
      <c r="D33" s="8" t="s">
        <v>140</v>
      </c>
      <c r="E33" s="13">
        <v>2</v>
      </c>
      <c r="F33" s="13"/>
      <c r="G33" s="13">
        <v>8.5</v>
      </c>
      <c r="H33" s="54"/>
      <c r="I33" s="8">
        <f>'П.1.1 '!F52</f>
        <v>2025</v>
      </c>
      <c r="J33" s="8">
        <f>'П.1.1 '!G52</f>
        <v>2029</v>
      </c>
      <c r="K33" s="13"/>
      <c r="L33" s="13"/>
      <c r="M33" s="8"/>
      <c r="N33" s="13"/>
      <c r="O33" s="13"/>
      <c r="P33" s="13"/>
      <c r="Q33" s="7">
        <f>'П.1.1 '!V52</f>
        <v>39.09204028695936</v>
      </c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ht="72" customHeight="1" x14ac:dyDescent="0.25">
      <c r="A34" s="12" t="str">
        <f>'П.1.1 '!A53</f>
        <v>2.1.6</v>
      </c>
      <c r="B34" s="9" t="str">
        <f>'П.1.1 '!B53</f>
        <v>Строительство электрических сетей в городе Вихоревка, поселках Братского района</v>
      </c>
      <c r="C34" s="8" t="s">
        <v>139</v>
      </c>
      <c r="D34" s="8" t="s">
        <v>146</v>
      </c>
      <c r="E34" s="13">
        <v>8.4</v>
      </c>
      <c r="F34" s="13"/>
      <c r="G34" s="13">
        <v>46.2</v>
      </c>
      <c r="H34" s="54"/>
      <c r="I34" s="8">
        <f>'П.1.1 '!F53</f>
        <v>2025</v>
      </c>
      <c r="J34" s="8">
        <f>'П.1.1 '!G53</f>
        <v>2029</v>
      </c>
      <c r="K34" s="13"/>
      <c r="L34" s="13"/>
      <c r="M34" s="8"/>
      <c r="N34" s="13"/>
      <c r="O34" s="13"/>
      <c r="P34" s="13"/>
      <c r="Q34" s="7">
        <f>'П.1.1 '!V53</f>
        <v>234.08348540000003</v>
      </c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ht="55.5" customHeight="1" x14ac:dyDescent="0.25">
      <c r="A35" s="12" t="str">
        <f>'П.1.1 '!A54</f>
        <v>2.1.7</v>
      </c>
      <c r="B35" s="9" t="str">
        <f>'П.1.1 '!B54</f>
        <v>Строительство электрических сетей в Нижнеилимском районе</v>
      </c>
      <c r="C35" s="8" t="s">
        <v>139</v>
      </c>
      <c r="D35" s="8" t="s">
        <v>147</v>
      </c>
      <c r="E35" s="13">
        <v>3.2</v>
      </c>
      <c r="F35" s="13"/>
      <c r="G35" s="13">
        <v>13.6</v>
      </c>
      <c r="H35" s="54"/>
      <c r="I35" s="8">
        <f>'П.1.1 '!F54</f>
        <v>2025</v>
      </c>
      <c r="J35" s="8">
        <f>'П.1.1 '!G54</f>
        <v>2029</v>
      </c>
      <c r="K35" s="13"/>
      <c r="L35" s="13"/>
      <c r="M35" s="8"/>
      <c r="N35" s="13"/>
      <c r="O35" s="13"/>
      <c r="P35" s="13"/>
      <c r="Q35" s="7">
        <f>'П.1.1 '!V54</f>
        <v>59.647110423600004</v>
      </c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ht="63" customHeight="1" x14ac:dyDescent="0.25">
      <c r="A36" s="12" t="str">
        <f>'П.1.1 '!A55</f>
        <v>2.1.8</v>
      </c>
      <c r="B36" s="9" t="str">
        <f>'П.1.1 '!B55</f>
        <v>Строительство электрических сетей в Чунском районе</v>
      </c>
      <c r="C36" s="8" t="s">
        <v>139</v>
      </c>
      <c r="D36" s="8" t="s">
        <v>142</v>
      </c>
      <c r="E36" s="13">
        <v>2</v>
      </c>
      <c r="F36" s="13"/>
      <c r="G36" s="13">
        <v>8.5</v>
      </c>
      <c r="H36" s="54"/>
      <c r="I36" s="8">
        <f>'П.1.1 '!F55</f>
        <v>2025</v>
      </c>
      <c r="J36" s="8">
        <f>'П.1.1 '!G55</f>
        <v>2029</v>
      </c>
      <c r="K36" s="13"/>
      <c r="L36" s="13"/>
      <c r="M36" s="8"/>
      <c r="N36" s="8"/>
      <c r="O36" s="13"/>
      <c r="P36" s="13"/>
      <c r="Q36" s="7">
        <f>'П.1.1 '!V55</f>
        <v>39.09204028695936</v>
      </c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s="1" customFormat="1" ht="60.75" customHeight="1" x14ac:dyDescent="0.25">
      <c r="A37" s="12" t="str">
        <f>'П.1.1 '!A56</f>
        <v>2.1.9</v>
      </c>
      <c r="B37" s="9" t="str">
        <f>'П.1.1 '!B56</f>
        <v>Строительство электрических сетей 0,4-10(6)кВ в городе Братске</v>
      </c>
      <c r="C37" s="8" t="s">
        <v>139</v>
      </c>
      <c r="D37" s="8" t="s">
        <v>140</v>
      </c>
      <c r="E37" s="13">
        <v>6.3</v>
      </c>
      <c r="F37" s="13"/>
      <c r="G37" s="13">
        <v>18.399999999999999</v>
      </c>
      <c r="H37" s="54"/>
      <c r="I37" s="8">
        <f>'П.1.1 '!F56</f>
        <v>2025</v>
      </c>
      <c r="J37" s="8">
        <f>'П.1.1 '!G56</f>
        <v>2029</v>
      </c>
      <c r="K37" s="13"/>
      <c r="L37" s="13"/>
      <c r="M37" s="8"/>
      <c r="N37" s="8"/>
      <c r="O37" s="13"/>
      <c r="P37" s="13"/>
      <c r="Q37" s="7">
        <f>'П.1.1 '!V56</f>
        <v>144.23895748598662</v>
      </c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s="1" customFormat="1" ht="75" customHeight="1" x14ac:dyDescent="0.25">
      <c r="A38" s="12" t="str">
        <f>'П.1.1 '!A57</f>
        <v>2.1.10</v>
      </c>
      <c r="B38" s="9" t="str">
        <f>'П.1.1 '!B57</f>
        <v>Строительство ВЛ-35кВ, ПС 35/6 кВ "Порожская" в жилом районе Порожский города Братск</v>
      </c>
      <c r="C38" s="8" t="s">
        <v>139</v>
      </c>
      <c r="D38" s="8" t="s">
        <v>140</v>
      </c>
      <c r="E38" s="13">
        <f>2*6.3</f>
        <v>12.6</v>
      </c>
      <c r="F38" s="13"/>
      <c r="G38" s="13">
        <f>2*0.4</f>
        <v>0.8</v>
      </c>
      <c r="H38" s="54"/>
      <c r="I38" s="8">
        <f>'П.1.1 '!F57</f>
        <v>2019</v>
      </c>
      <c r="J38" s="8">
        <f>'П.1.1 '!G57</f>
        <v>2027</v>
      </c>
      <c r="K38" s="13"/>
      <c r="L38" s="13"/>
      <c r="M38" s="8"/>
      <c r="N38" s="8"/>
      <c r="O38" s="13"/>
      <c r="P38" s="13"/>
      <c r="Q38" s="7">
        <f>'П.1.1 '!V57</f>
        <v>550.3977280706182</v>
      </c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s="1" customFormat="1" ht="81.75" customHeight="1" x14ac:dyDescent="0.25">
      <c r="A39" s="12" t="str">
        <f>'П.1.1 '!A58</f>
        <v>2.1.11</v>
      </c>
      <c r="B39" s="9" t="str">
        <f>'П.1.1 '!B58</f>
        <v>Строительство распределительных сетей 10-0,4кВ в п.Янталь, п.Каймоново, п.Ручей, п.Звёздный Усть-Кутского района</v>
      </c>
      <c r="C39" s="8" t="s">
        <v>139</v>
      </c>
      <c r="D39" s="8" t="s">
        <v>156</v>
      </c>
      <c r="E39" s="13">
        <v>3.2</v>
      </c>
      <c r="F39" s="13"/>
      <c r="G39" s="13">
        <v>13.6</v>
      </c>
      <c r="H39" s="54"/>
      <c r="I39" s="8">
        <f>'П.1.1 '!F58</f>
        <v>2025</v>
      </c>
      <c r="J39" s="8">
        <f>'П.1.1 '!G58</f>
        <v>2029</v>
      </c>
      <c r="K39" s="13"/>
      <c r="L39" s="13"/>
      <c r="M39" s="8"/>
      <c r="N39" s="8"/>
      <c r="O39" s="13"/>
      <c r="P39" s="13"/>
      <c r="Q39" s="7">
        <f>'П.1.1 '!V58</f>
        <v>59.648122568030402</v>
      </c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1" customFormat="1" ht="64.900000000000006" customHeight="1" x14ac:dyDescent="0.25">
      <c r="A40" s="12" t="str">
        <f>'П.1.1 '!A59</f>
        <v>2.1.12</v>
      </c>
      <c r="B40" s="9" t="str">
        <f>'П.1.1 '!B59</f>
        <v>Строительство распределительных сетей 10-0,4кВ в г.Тайшете и Тайшетском районе, г.Нижнеудинске.</v>
      </c>
      <c r="C40" s="8" t="s">
        <v>139</v>
      </c>
      <c r="D40" s="8" t="s">
        <v>158</v>
      </c>
      <c r="E40" s="13">
        <v>2</v>
      </c>
      <c r="F40" s="13"/>
      <c r="G40" s="13">
        <v>8.5</v>
      </c>
      <c r="H40" s="54"/>
      <c r="I40" s="8">
        <f>'П.1.1 '!F59</f>
        <v>2025</v>
      </c>
      <c r="J40" s="8">
        <f>'П.1.1 '!G59</f>
        <v>2029</v>
      </c>
      <c r="K40" s="13"/>
      <c r="L40" s="13"/>
      <c r="M40" s="8"/>
      <c r="N40" s="8"/>
      <c r="O40" s="13"/>
      <c r="P40" s="13"/>
      <c r="Q40" s="7">
        <f>'П.1.1 '!V59</f>
        <v>39.09204028695936</v>
      </c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1" customFormat="1" ht="64.900000000000006" customHeight="1" x14ac:dyDescent="0.25">
      <c r="A41" s="12"/>
      <c r="B41" s="9" t="str">
        <f>'П.1.1 '!B68</f>
        <v>Возврат заемных средств</v>
      </c>
      <c r="C41" s="8"/>
      <c r="D41" s="8"/>
      <c r="E41" s="13"/>
      <c r="F41" s="13"/>
      <c r="G41" s="13"/>
      <c r="H41" s="13"/>
      <c r="I41" s="8">
        <v>2025</v>
      </c>
      <c r="J41" s="8">
        <v>2025</v>
      </c>
      <c r="K41" s="13"/>
      <c r="L41" s="13"/>
      <c r="M41" s="8"/>
      <c r="N41" s="8"/>
      <c r="O41" s="13"/>
      <c r="P41" s="13"/>
      <c r="Q41" s="7">
        <f>'П.1.1 '!V68</f>
        <v>33.099156000000001</v>
      </c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ht="23.25" x14ac:dyDescent="0.35">
      <c r="G42" s="96"/>
      <c r="I42" s="62"/>
      <c r="J42" s="62"/>
      <c r="O42" s="31"/>
      <c r="P42" s="31"/>
      <c r="Q42" s="31"/>
      <c r="R42" s="31"/>
      <c r="S42" s="32"/>
    </row>
    <row r="43" spans="1:27" s="10" customFormat="1" x14ac:dyDescent="0.25">
      <c r="A43" s="24" t="s">
        <v>61</v>
      </c>
      <c r="B43" s="30" t="s">
        <v>148</v>
      </c>
      <c r="G43" s="97"/>
      <c r="I43" s="62"/>
      <c r="J43" s="62"/>
      <c r="Q43" s="107"/>
    </row>
    <row r="44" spans="1:27" s="10" customFormat="1" x14ac:dyDescent="0.25">
      <c r="B44" s="57" t="s">
        <v>149</v>
      </c>
      <c r="G44" s="131"/>
      <c r="I44" s="62"/>
      <c r="J44" s="62"/>
    </row>
    <row r="45" spans="1:27" s="10" customFormat="1" x14ac:dyDescent="0.25">
      <c r="B45" s="57" t="s">
        <v>150</v>
      </c>
      <c r="I45" s="62"/>
      <c r="J45" s="62"/>
    </row>
    <row r="46" spans="1:27" s="11" customFormat="1" x14ac:dyDescent="0.25">
      <c r="B46" s="57" t="s">
        <v>151</v>
      </c>
      <c r="I46" s="62"/>
      <c r="J46" s="62"/>
    </row>
    <row r="47" spans="1:27" s="11" customFormat="1" x14ac:dyDescent="0.25">
      <c r="B47" s="57" t="s">
        <v>152</v>
      </c>
    </row>
    <row r="48" spans="1:27" x14ac:dyDescent="0.25">
      <c r="A48" s="63" t="s">
        <v>62</v>
      </c>
      <c r="B48" s="30" t="s">
        <v>153</v>
      </c>
    </row>
    <row r="49" spans="1:17" x14ac:dyDescent="0.25">
      <c r="A49" s="63" t="s">
        <v>63</v>
      </c>
      <c r="B49" s="30" t="s">
        <v>154</v>
      </c>
    </row>
    <row r="50" spans="1:17" x14ac:dyDescent="0.25">
      <c r="A50" s="63" t="s">
        <v>67</v>
      </c>
      <c r="B50" s="30" t="s">
        <v>155</v>
      </c>
    </row>
    <row r="62" spans="1:17" x14ac:dyDescent="0.25">
      <c r="E62" s="58"/>
      <c r="G62" s="58"/>
    </row>
    <row r="63" spans="1:17" x14ac:dyDescent="0.25">
      <c r="Q63" s="58"/>
    </row>
    <row r="64" spans="1:17" x14ac:dyDescent="0.25">
      <c r="E64" s="58"/>
      <c r="G64" s="58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5:AA5"/>
    <mergeCell ref="X2:Z2"/>
    <mergeCell ref="X3:Z3"/>
    <mergeCell ref="X4:Z4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32" fitToHeight="3" orientation="landscape" verticalDpi="180" r:id="rId1"/>
  <rowBreaks count="1" manualBreakCount="1">
    <brk id="25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2024-02-28T04:47:50Z</dcterms:modified>
</cp:coreProperties>
</file>