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выше'!$A$1:$P$138</definedName>
  </definedNames>
  <calcPr fullCalcOnLoad="1"/>
</workbook>
</file>

<file path=xl/sharedStrings.xml><?xml version="1.0" encoding="utf-8"?>
<sst xmlns="http://schemas.openxmlformats.org/spreadsheetml/2006/main" count="223" uniqueCount="80">
  <si>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</si>
  <si>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</si>
  <si>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</si>
  <si>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</si>
  <si>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</si>
  <si>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</si>
  <si>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</si>
  <si>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</si>
  <si>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</si>
  <si>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</si>
  <si>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</si>
  <si>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</si>
  <si>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</si>
  <si>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</si>
  <si>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</si>
  <si>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</si>
  <si>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</si>
  <si>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</si>
  <si>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</si>
  <si>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</si>
  <si>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</si>
  <si>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</si>
  <si>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</si>
  <si>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</si>
  <si>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</si>
  <si>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</si>
  <si>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</si>
  <si>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</si>
  <si>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</si>
  <si>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</si>
  <si>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</si>
  <si>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</si>
  <si>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</si>
  <si>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</si>
  <si>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</si>
  <si>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</si>
  <si>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</si>
  <si>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</si>
  <si>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</si>
  <si>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</si>
  <si>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</si>
  <si>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</si>
  <si>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</si>
  <si>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</si>
  <si>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</si>
  <si>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</si>
  <si>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</si>
  <si>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</si>
  <si>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</si>
  <si>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</si>
  <si>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</si>
  <si>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МВА</t>
  </si>
  <si>
    <t>МВт</t>
  </si>
  <si>
    <t>Примечание</t>
  </si>
  <si>
    <t>-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</si>
  <si>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</si>
  <si>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</si>
  <si>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</si>
  <si>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</si>
  <si>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</si>
  <si>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</si>
  <si>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</si>
  <si>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</si>
  <si>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</si>
  <si>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</si>
  <si>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</si>
  <si>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</si>
  <si>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</si>
  <si>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</si>
  <si>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</si>
  <si>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</si>
  <si>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один трансформатор в нормальном режиме на холостом ходу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</si>
  <si>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</si>
  <si>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</si>
  <si>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п.Соцгородок КТП-4</t>
  </si>
  <si>
    <t>п.Речушка КТП-2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</si>
  <si>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31 марта 2013г.</t>
  </si>
  <si>
    <t>Текущий объем свободной мощности с учетом присоединенных потребителей на 31.03.2013г.</t>
  </si>
  <si>
    <t>Объем свободной мощности с учетом присоединенных потребителей и заключенных договоров на ТП и поданных заявок на ТП на 31.03.2013г.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</si>
  <si>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31.03.2013г.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</si>
</sst>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5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7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7" xfId="0" applyNumberFormat="1" applyFont="1" applyFill="1" applyBorder="1" applyAlignment="1">
      <alignment horizontal="center"/>
    </xf>
    <xf numFmtId="184" fontId="4" fillId="33" borderId="27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4" fontId="4" fillId="33" borderId="3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7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184" fontId="4" fillId="0" borderId="31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4" fillId="0" borderId="32" xfId="0" applyNumberFormat="1" applyFont="1" applyBorder="1" applyAlignment="1">
      <alignment horizontal="center"/>
    </xf>
    <xf numFmtId="184" fontId="4" fillId="0" borderId="31" xfId="0" applyNumberFormat="1" applyFont="1" applyBorder="1" applyAlignment="1">
      <alignment horizontal="center" vertical="center" wrapText="1"/>
    </xf>
    <xf numFmtId="184" fontId="4" fillId="0" borderId="32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37"/>
  <sheetViews>
    <sheetView tabSelected="1" view="pageBreakPreview" zoomScale="75" zoomScaleNormal="9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H119" sqref="H119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3.25" customHeight="1" thickBot="1">
      <c r="B5" s="10" t="s">
        <v>0</v>
      </c>
      <c r="C5" s="11" t="s">
        <v>39</v>
      </c>
      <c r="D5" s="11" t="s">
        <v>1</v>
      </c>
      <c r="E5" s="12" t="s">
        <v>42</v>
      </c>
      <c r="F5" s="112" t="s">
        <v>68</v>
      </c>
      <c r="G5" s="113"/>
      <c r="H5" s="11" t="s">
        <v>65</v>
      </c>
      <c r="I5" s="112" t="s">
        <v>66</v>
      </c>
      <c r="J5" s="113"/>
      <c r="K5" s="114" t="s">
        <v>72</v>
      </c>
      <c r="L5" s="115"/>
      <c r="M5" s="13" t="s">
        <v>77</v>
      </c>
      <c r="N5" s="14" t="s">
        <v>78</v>
      </c>
      <c r="O5" s="15" t="s">
        <v>79</v>
      </c>
      <c r="P5" s="16" t="s">
        <v>53</v>
      </c>
    </row>
    <row r="6" spans="2:16" ht="13.5" thickBot="1">
      <c r="B6" s="36"/>
      <c r="C6" s="37"/>
      <c r="D6" s="38"/>
      <c r="E6" s="13" t="s">
        <v>51</v>
      </c>
      <c r="F6" s="13" t="s">
        <v>51</v>
      </c>
      <c r="G6" s="39" t="s">
        <v>69</v>
      </c>
      <c r="H6" s="13" t="s">
        <v>52</v>
      </c>
      <c r="I6" s="13" t="s">
        <v>51</v>
      </c>
      <c r="J6" s="13" t="s">
        <v>69</v>
      </c>
      <c r="K6" s="13" t="s">
        <v>51</v>
      </c>
      <c r="L6" s="39" t="s">
        <v>69</v>
      </c>
      <c r="M6" s="13" t="s">
        <v>51</v>
      </c>
      <c r="N6" s="40" t="s">
        <v>51</v>
      </c>
      <c r="O6" s="14" t="s">
        <v>51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90"/>
      <c r="K7" s="5"/>
      <c r="L7" s="90"/>
      <c r="M7" s="5"/>
      <c r="N7" s="6"/>
      <c r="O7" s="7"/>
      <c r="P7" s="9"/>
    </row>
    <row r="8" spans="2:17" ht="15.75" customHeight="1">
      <c r="B8" s="107" t="s">
        <v>55</v>
      </c>
      <c r="C8" s="48" t="s">
        <v>6</v>
      </c>
      <c r="D8" s="17"/>
      <c r="E8" s="18">
        <f>E9</f>
        <v>10</v>
      </c>
      <c r="F8" s="59">
        <f>F9</f>
        <v>7.059</v>
      </c>
      <c r="G8" s="79"/>
      <c r="H8" s="60"/>
      <c r="I8" s="60">
        <f>F8+H8/0.85</f>
        <v>7.059</v>
      </c>
      <c r="J8" s="79"/>
      <c r="K8" s="60" t="s">
        <v>54</v>
      </c>
      <c r="L8" s="79" t="s">
        <v>54</v>
      </c>
      <c r="M8" s="59">
        <f>E8*1.05-F8</f>
        <v>3.441</v>
      </c>
      <c r="N8" s="61">
        <f>E8*1.05-I8</f>
        <v>3.441</v>
      </c>
      <c r="O8" s="59">
        <f>IF((E8*1.05-I8)&gt;0,(E8*105/100)-I8,0)</f>
        <v>3.441</v>
      </c>
      <c r="P8" s="96"/>
      <c r="Q8" s="2"/>
    </row>
    <row r="9" spans="2:17" ht="15.75">
      <c r="B9" s="108"/>
      <c r="C9" s="20" t="s">
        <v>2</v>
      </c>
      <c r="D9" s="19" t="s">
        <v>44</v>
      </c>
      <c r="E9" s="18">
        <v>10</v>
      </c>
      <c r="F9" s="59">
        <v>7.059</v>
      </c>
      <c r="G9" s="79">
        <f>F9/E9*0.95</f>
        <v>0.6706049999999999</v>
      </c>
      <c r="H9" s="60"/>
      <c r="I9" s="60"/>
      <c r="J9" s="79"/>
      <c r="K9" s="60"/>
      <c r="L9" s="79"/>
      <c r="M9" s="59"/>
      <c r="N9" s="61"/>
      <c r="O9" s="59"/>
      <c r="P9" s="97"/>
      <c r="Q9" s="2"/>
    </row>
    <row r="10" spans="2:17" ht="15.75">
      <c r="B10" s="108"/>
      <c r="C10" s="21"/>
      <c r="D10" s="22"/>
      <c r="E10" s="23"/>
      <c r="F10" s="62"/>
      <c r="G10" s="80"/>
      <c r="H10" s="63"/>
      <c r="I10" s="63"/>
      <c r="J10" s="80"/>
      <c r="K10" s="63"/>
      <c r="L10" s="80"/>
      <c r="M10" s="62"/>
      <c r="N10" s="64"/>
      <c r="O10" s="62"/>
      <c r="P10" s="65"/>
      <c r="Q10" s="2"/>
    </row>
    <row r="11" spans="2:17" ht="15.75">
      <c r="B11" s="108"/>
      <c r="C11" s="48" t="s">
        <v>7</v>
      </c>
      <c r="D11" s="17"/>
      <c r="E11" s="18">
        <f>E12</f>
        <v>2.5</v>
      </c>
      <c r="F11" s="59">
        <f>F12</f>
        <v>1.3677</v>
      </c>
      <c r="G11" s="79"/>
      <c r="H11" s="60">
        <f>0.04+0.04</f>
        <v>0.08</v>
      </c>
      <c r="I11" s="60">
        <f>F11+H11/0.85</f>
        <v>1.4618176470588233</v>
      </c>
      <c r="J11" s="79"/>
      <c r="K11" s="60" t="s">
        <v>54</v>
      </c>
      <c r="L11" s="79" t="s">
        <v>54</v>
      </c>
      <c r="M11" s="59">
        <f>E11*1.05-F11</f>
        <v>1.2573</v>
      </c>
      <c r="N11" s="61">
        <f>E11*1.05-I11</f>
        <v>1.1631823529411767</v>
      </c>
      <c r="O11" s="59">
        <f>IF((E11*1.05-I11)&gt;0,(E11*105/100)-I11,0)</f>
        <v>1.1631823529411767</v>
      </c>
      <c r="P11" s="96"/>
      <c r="Q11" s="2"/>
    </row>
    <row r="12" spans="2:17" ht="15.75">
      <c r="B12" s="108"/>
      <c r="C12" s="20" t="s">
        <v>2</v>
      </c>
      <c r="D12" s="19" t="s">
        <v>45</v>
      </c>
      <c r="E12" s="18">
        <v>2.5</v>
      </c>
      <c r="F12" s="59">
        <v>1.3677</v>
      </c>
      <c r="G12" s="79">
        <f>F12/E12</f>
        <v>0.54708</v>
      </c>
      <c r="H12" s="60"/>
      <c r="I12" s="60"/>
      <c r="J12" s="79"/>
      <c r="K12" s="60"/>
      <c r="L12" s="79"/>
      <c r="M12" s="59"/>
      <c r="N12" s="61"/>
      <c r="O12" s="59"/>
      <c r="P12" s="97"/>
      <c r="Q12" s="2"/>
    </row>
    <row r="13" spans="2:17" ht="15.75">
      <c r="B13" s="108"/>
      <c r="C13" s="21"/>
      <c r="D13" s="22"/>
      <c r="E13" s="23"/>
      <c r="F13" s="62"/>
      <c r="G13" s="80"/>
      <c r="H13" s="63"/>
      <c r="I13" s="63"/>
      <c r="J13" s="80"/>
      <c r="K13" s="63"/>
      <c r="L13" s="80"/>
      <c r="M13" s="62"/>
      <c r="N13" s="64"/>
      <c r="O13" s="62"/>
      <c r="P13" s="65"/>
      <c r="Q13" s="2"/>
    </row>
    <row r="14" spans="2:17" ht="15.75">
      <c r="B14" s="108"/>
      <c r="C14" s="48" t="s">
        <v>8</v>
      </c>
      <c r="D14" s="17"/>
      <c r="E14" s="18">
        <f>E15</f>
        <v>10</v>
      </c>
      <c r="F14" s="59">
        <f>F15</f>
        <v>3.8083</v>
      </c>
      <c r="G14" s="79"/>
      <c r="H14" s="60">
        <f>1.30912+0.095+0.015+0.058+0.615+0.08+0.015+0.015+0.01</f>
        <v>2.21212</v>
      </c>
      <c r="I14" s="60">
        <f>F14+H14/0.85</f>
        <v>6.410794117647059</v>
      </c>
      <c r="J14" s="79"/>
      <c r="K14" s="60" t="s">
        <v>54</v>
      </c>
      <c r="L14" s="79" t="s">
        <v>54</v>
      </c>
      <c r="M14" s="59">
        <f>E14*1.05-F14</f>
        <v>6.6917</v>
      </c>
      <c r="N14" s="61">
        <f>E14*1.05-I14</f>
        <v>4.089205882352941</v>
      </c>
      <c r="O14" s="59">
        <f>IF((E14*1.05-I14)&gt;0,(E14*105/100)-I14,0)</f>
        <v>4.089205882352941</v>
      </c>
      <c r="P14" s="96"/>
      <c r="Q14" s="2"/>
    </row>
    <row r="15" spans="2:17" ht="15.75">
      <c r="B15" s="108"/>
      <c r="C15" s="20" t="s">
        <v>2</v>
      </c>
      <c r="D15" s="19" t="s">
        <v>44</v>
      </c>
      <c r="E15" s="18">
        <v>10</v>
      </c>
      <c r="F15" s="59">
        <v>3.8083</v>
      </c>
      <c r="G15" s="79">
        <f>F15/E15</f>
        <v>0.38083</v>
      </c>
      <c r="H15" s="60"/>
      <c r="I15" s="60"/>
      <c r="J15" s="79"/>
      <c r="K15" s="60"/>
      <c r="L15" s="79"/>
      <c r="M15" s="59"/>
      <c r="N15" s="61"/>
      <c r="O15" s="59"/>
      <c r="P15" s="97"/>
      <c r="Q15" s="2"/>
    </row>
    <row r="16" spans="2:17" ht="15.75">
      <c r="B16" s="108"/>
      <c r="C16" s="21"/>
      <c r="D16" s="22"/>
      <c r="E16" s="23"/>
      <c r="F16" s="62"/>
      <c r="G16" s="80"/>
      <c r="H16" s="63"/>
      <c r="I16" s="63"/>
      <c r="J16" s="80"/>
      <c r="K16" s="63"/>
      <c r="L16" s="80"/>
      <c r="M16" s="62"/>
      <c r="N16" s="64"/>
      <c r="O16" s="62"/>
      <c r="P16" s="65"/>
      <c r="Q16" s="2"/>
    </row>
    <row r="17" spans="2:17" ht="15.75">
      <c r="B17" s="108"/>
      <c r="C17" s="48" t="s">
        <v>9</v>
      </c>
      <c r="D17" s="17"/>
      <c r="E17" s="18">
        <f>E18</f>
        <v>2.5</v>
      </c>
      <c r="F17" s="59">
        <f>F18</f>
        <v>1.352</v>
      </c>
      <c r="G17" s="79"/>
      <c r="H17" s="60">
        <f>0.285+0.02</f>
        <v>0.305</v>
      </c>
      <c r="I17" s="60">
        <f>F17+H17/0.85</f>
        <v>1.7108235294117649</v>
      </c>
      <c r="J17" s="79"/>
      <c r="K17" s="60" t="s">
        <v>54</v>
      </c>
      <c r="L17" s="79" t="s">
        <v>54</v>
      </c>
      <c r="M17" s="59">
        <f>E17*1.05-F17</f>
        <v>1.273</v>
      </c>
      <c r="N17" s="61">
        <f>E17*1.05-I17</f>
        <v>0.9141764705882351</v>
      </c>
      <c r="O17" s="59">
        <f>IF((E17*1.05-I17)&gt;0,(E17*105/100)-I17,0)</f>
        <v>0.9141764705882351</v>
      </c>
      <c r="P17" s="96"/>
      <c r="Q17" s="2"/>
    </row>
    <row r="18" spans="2:17" ht="15.75">
      <c r="B18" s="108"/>
      <c r="C18" s="20" t="s">
        <v>2</v>
      </c>
      <c r="D18" s="19" t="s">
        <v>5</v>
      </c>
      <c r="E18" s="18">
        <v>2.5</v>
      </c>
      <c r="F18" s="59">
        <v>1.352</v>
      </c>
      <c r="G18" s="79">
        <f>F18/E18</f>
        <v>0.5408000000000001</v>
      </c>
      <c r="H18" s="60"/>
      <c r="I18" s="60"/>
      <c r="J18" s="79"/>
      <c r="K18" s="60"/>
      <c r="L18" s="79"/>
      <c r="M18" s="59"/>
      <c r="N18" s="61"/>
      <c r="O18" s="59"/>
      <c r="P18" s="97"/>
      <c r="Q18" s="2"/>
    </row>
    <row r="19" spans="2:17" ht="15.75">
      <c r="B19" s="108"/>
      <c r="C19" s="21"/>
      <c r="D19" s="22"/>
      <c r="E19" s="23"/>
      <c r="F19" s="62"/>
      <c r="G19" s="80"/>
      <c r="H19" s="63"/>
      <c r="I19" s="63"/>
      <c r="J19" s="80"/>
      <c r="K19" s="63"/>
      <c r="L19" s="80"/>
      <c r="M19" s="62"/>
      <c r="N19" s="64"/>
      <c r="O19" s="62"/>
      <c r="P19" s="65"/>
      <c r="Q19" s="2"/>
    </row>
    <row r="20" spans="2:17" ht="15.75">
      <c r="B20" s="108"/>
      <c r="C20" s="48" t="s">
        <v>43</v>
      </c>
      <c r="D20" s="17"/>
      <c r="E20" s="18">
        <f>E21</f>
        <v>10</v>
      </c>
      <c r="F20" s="59">
        <f>F21</f>
        <v>2.8263</v>
      </c>
      <c r="G20" s="79"/>
      <c r="H20" s="60">
        <f>2.56+0.015+0.04</f>
        <v>2.615</v>
      </c>
      <c r="I20" s="60">
        <f>F20+H20/0.85</f>
        <v>5.902770588235294</v>
      </c>
      <c r="J20" s="79"/>
      <c r="K20" s="60" t="s">
        <v>54</v>
      </c>
      <c r="L20" s="79" t="s">
        <v>54</v>
      </c>
      <c r="M20" s="59">
        <f>E20*1.05-F20</f>
        <v>7.6737</v>
      </c>
      <c r="N20" s="61">
        <f>E20*1.05-I20</f>
        <v>4.597229411764706</v>
      </c>
      <c r="O20" s="59">
        <f>IF(J20&gt;1.05,0,(E20*105/100)-I20)</f>
        <v>4.597229411764706</v>
      </c>
      <c r="P20" s="96"/>
      <c r="Q20" s="2"/>
    </row>
    <row r="21" spans="2:17" ht="15.75">
      <c r="B21" s="108"/>
      <c r="C21" s="20" t="s">
        <v>2</v>
      </c>
      <c r="D21" s="19" t="s">
        <v>46</v>
      </c>
      <c r="E21" s="18">
        <v>10</v>
      </c>
      <c r="F21" s="59">
        <v>2.8263</v>
      </c>
      <c r="G21" s="79">
        <f>F21/E21</f>
        <v>0.28263</v>
      </c>
      <c r="H21" s="60"/>
      <c r="I21" s="60"/>
      <c r="J21" s="79"/>
      <c r="K21" s="60"/>
      <c r="L21" s="79"/>
      <c r="M21" s="59"/>
      <c r="N21" s="61"/>
      <c r="O21" s="59"/>
      <c r="P21" s="97"/>
      <c r="Q21" s="2"/>
    </row>
    <row r="22" spans="2:17" ht="15.75">
      <c r="B22" s="108"/>
      <c r="C22" s="21"/>
      <c r="D22" s="22"/>
      <c r="E22" s="23"/>
      <c r="F22" s="62"/>
      <c r="G22" s="80"/>
      <c r="H22" s="63"/>
      <c r="I22" s="63"/>
      <c r="J22" s="80"/>
      <c r="K22" s="63"/>
      <c r="L22" s="80"/>
      <c r="M22" s="62"/>
      <c r="N22" s="64"/>
      <c r="O22" s="62"/>
      <c r="P22" s="65"/>
      <c r="Q22" s="2"/>
    </row>
    <row r="23" spans="2:17" ht="15.75">
      <c r="B23" s="108"/>
      <c r="C23" s="48" t="s">
        <v>10</v>
      </c>
      <c r="D23" s="17"/>
      <c r="E23" s="18">
        <f>SUM(E24:E25)</f>
        <v>12.6</v>
      </c>
      <c r="F23" s="59">
        <f>SUM(F24:F25)</f>
        <v>4.4603</v>
      </c>
      <c r="G23" s="79"/>
      <c r="H23" s="60">
        <f>0.444+0.007+0.015</f>
        <v>0.466</v>
      </c>
      <c r="I23" s="60">
        <f>F23+H23/0.85</f>
        <v>5.008535294117648</v>
      </c>
      <c r="J23" s="79"/>
      <c r="K23" s="60">
        <f>I23</f>
        <v>5.008535294117648</v>
      </c>
      <c r="L23" s="79">
        <f>K23/E24</f>
        <v>0.7950056022408964</v>
      </c>
      <c r="M23" s="59">
        <f>E24*1.4-F23</f>
        <v>4.359699999999998</v>
      </c>
      <c r="N23" s="61">
        <f>E24*1.4-I23</f>
        <v>3.8114647058823508</v>
      </c>
      <c r="O23" s="59">
        <f>IF(L23&gt;1.4,0,(E24*140/100)-I23)</f>
        <v>3.8114647058823525</v>
      </c>
      <c r="P23" s="96"/>
      <c r="Q23" s="2"/>
    </row>
    <row r="24" spans="2:17" ht="15.75">
      <c r="B24" s="108"/>
      <c r="C24" s="20" t="s">
        <v>2</v>
      </c>
      <c r="D24" s="19" t="s">
        <v>45</v>
      </c>
      <c r="E24" s="18">
        <v>6.3</v>
      </c>
      <c r="F24" s="59">
        <v>2.0884</v>
      </c>
      <c r="G24" s="79">
        <f>F24/E24</f>
        <v>0.3314920634920635</v>
      </c>
      <c r="H24" s="60"/>
      <c r="I24" s="60"/>
      <c r="J24" s="79"/>
      <c r="K24" s="60"/>
      <c r="L24" s="79"/>
      <c r="M24" s="59"/>
      <c r="N24" s="61"/>
      <c r="O24" s="59"/>
      <c r="P24" s="98"/>
      <c r="Q24" s="2"/>
    </row>
    <row r="25" spans="2:17" ht="15.75">
      <c r="B25" s="108"/>
      <c r="C25" s="20" t="s">
        <v>3</v>
      </c>
      <c r="D25" s="19" t="s">
        <v>45</v>
      </c>
      <c r="E25" s="18">
        <v>6.3</v>
      </c>
      <c r="F25" s="59">
        <v>2.3719</v>
      </c>
      <c r="G25" s="79">
        <f>F25/E25</f>
        <v>0.37649206349206354</v>
      </c>
      <c r="H25" s="60"/>
      <c r="I25" s="60"/>
      <c r="J25" s="79"/>
      <c r="K25" s="60"/>
      <c r="L25" s="79"/>
      <c r="M25" s="59"/>
      <c r="N25" s="61"/>
      <c r="O25" s="59"/>
      <c r="P25" s="97"/>
      <c r="Q25" s="2"/>
    </row>
    <row r="26" spans="2:17" ht="15.75">
      <c r="B26" s="108"/>
      <c r="C26" s="21"/>
      <c r="D26" s="22"/>
      <c r="E26" s="23"/>
      <c r="F26" s="62"/>
      <c r="G26" s="80"/>
      <c r="H26" s="63"/>
      <c r="I26" s="63"/>
      <c r="J26" s="80"/>
      <c r="K26" s="63"/>
      <c r="L26" s="80"/>
      <c r="M26" s="62"/>
      <c r="N26" s="64"/>
      <c r="O26" s="62"/>
      <c r="P26" s="65"/>
      <c r="Q26" s="2"/>
    </row>
    <row r="27" spans="2:17" ht="15.75">
      <c r="B27" s="108"/>
      <c r="C27" s="48" t="s">
        <v>11</v>
      </c>
      <c r="D27" s="17"/>
      <c r="E27" s="18">
        <f>SUM(E28,E30)</f>
        <v>11.899999999999999</v>
      </c>
      <c r="F27" s="59">
        <f>IF(F28&gt;F30,F28,F30)</f>
        <v>4.5344</v>
      </c>
      <c r="G27" s="81"/>
      <c r="H27" s="60">
        <v>1.759</v>
      </c>
      <c r="I27" s="60">
        <f>F27+H27/0.85</f>
        <v>6.603811764705882</v>
      </c>
      <c r="J27" s="79"/>
      <c r="K27" s="60">
        <f>I27</f>
        <v>6.603811764705882</v>
      </c>
      <c r="L27" s="79">
        <f>K27/E28</f>
        <v>1.179252100840336</v>
      </c>
      <c r="M27" s="59">
        <f>E28*1.4-F27</f>
        <v>3.305599999999999</v>
      </c>
      <c r="N27" s="61">
        <f>E28*1.4-I27</f>
        <v>1.236188235294117</v>
      </c>
      <c r="O27" s="59">
        <f>IF(L27&gt;1.4,0,(E28*140/100)-I27)</f>
        <v>1.2361882352941178</v>
      </c>
      <c r="P27" s="99" t="s">
        <v>71</v>
      </c>
      <c r="Q27" s="2"/>
    </row>
    <row r="28" spans="2:17" ht="15.75">
      <c r="B28" s="108"/>
      <c r="C28" s="20" t="s">
        <v>2</v>
      </c>
      <c r="D28" s="19" t="s">
        <v>47</v>
      </c>
      <c r="E28" s="18">
        <v>5.6</v>
      </c>
      <c r="F28" s="102">
        <v>4.4391</v>
      </c>
      <c r="G28" s="110">
        <f>F28/E28</f>
        <v>0.7926964285714286</v>
      </c>
      <c r="H28" s="117"/>
      <c r="I28" s="117"/>
      <c r="J28" s="110"/>
      <c r="K28" s="117"/>
      <c r="L28" s="110"/>
      <c r="M28" s="102"/>
      <c r="N28" s="102"/>
      <c r="O28" s="102"/>
      <c r="P28" s="100"/>
      <c r="Q28" s="2"/>
    </row>
    <row r="29" spans="2:17" ht="15.75">
      <c r="B29" s="108"/>
      <c r="C29" s="20" t="s">
        <v>3</v>
      </c>
      <c r="D29" s="19" t="s">
        <v>47</v>
      </c>
      <c r="E29" s="18">
        <v>5.6</v>
      </c>
      <c r="F29" s="103"/>
      <c r="G29" s="111"/>
      <c r="H29" s="118"/>
      <c r="I29" s="118"/>
      <c r="J29" s="111"/>
      <c r="K29" s="118"/>
      <c r="L29" s="111"/>
      <c r="M29" s="103"/>
      <c r="N29" s="103"/>
      <c r="O29" s="103"/>
      <c r="P29" s="100"/>
      <c r="Q29" s="2"/>
    </row>
    <row r="30" spans="2:17" ht="15.75">
      <c r="B30" s="108"/>
      <c r="C30" s="20" t="s">
        <v>4</v>
      </c>
      <c r="D30" s="19" t="s">
        <v>47</v>
      </c>
      <c r="E30" s="18">
        <v>6.3</v>
      </c>
      <c r="F30" s="59">
        <v>4.5344</v>
      </c>
      <c r="G30" s="79">
        <f>F30/E30</f>
        <v>0.7197460317460317</v>
      </c>
      <c r="H30" s="60"/>
      <c r="I30" s="60"/>
      <c r="J30" s="79"/>
      <c r="K30" s="60"/>
      <c r="L30" s="79"/>
      <c r="M30" s="59"/>
      <c r="N30" s="61"/>
      <c r="O30" s="59"/>
      <c r="P30" s="101"/>
      <c r="Q30" s="2"/>
    </row>
    <row r="31" spans="2:17" ht="15.75">
      <c r="B31" s="108"/>
      <c r="C31" s="21"/>
      <c r="D31" s="22"/>
      <c r="E31" s="23"/>
      <c r="F31" s="62"/>
      <c r="G31" s="80"/>
      <c r="H31" s="63"/>
      <c r="I31" s="63"/>
      <c r="J31" s="80"/>
      <c r="K31" s="63"/>
      <c r="L31" s="80"/>
      <c r="M31" s="62"/>
      <c r="N31" s="64"/>
      <c r="O31" s="62"/>
      <c r="P31" s="65"/>
      <c r="Q31" s="2"/>
    </row>
    <row r="32" spans="2:17" ht="15.75">
      <c r="B32" s="108"/>
      <c r="C32" s="48" t="s">
        <v>12</v>
      </c>
      <c r="D32" s="17"/>
      <c r="E32" s="18">
        <f>SUM(E33:E34)</f>
        <v>7.2</v>
      </c>
      <c r="F32" s="59">
        <f>SUM(F33:F34)</f>
        <v>2.4151</v>
      </c>
      <c r="G32" s="79"/>
      <c r="H32" s="60">
        <v>2.8</v>
      </c>
      <c r="I32" s="60">
        <f>F32+H32/0.85</f>
        <v>5.709217647058823</v>
      </c>
      <c r="J32" s="79"/>
      <c r="K32" s="60">
        <f>I32</f>
        <v>5.709217647058823</v>
      </c>
      <c r="L32" s="94">
        <f>K32/E33</f>
        <v>1.7841305147058821</v>
      </c>
      <c r="M32" s="92">
        <f>E33*1.4-F32</f>
        <v>2.0648999999999997</v>
      </c>
      <c r="N32" s="91">
        <f>E33*1.4-I32</f>
        <v>-1.2292176470588236</v>
      </c>
      <c r="O32" s="92">
        <f>IF(L32&gt;1.4,0,(E33*140/100)-I32)</f>
        <v>0</v>
      </c>
      <c r="P32" s="99" t="s">
        <v>70</v>
      </c>
      <c r="Q32" s="2"/>
    </row>
    <row r="33" spans="2:17" ht="15.75">
      <c r="B33" s="108"/>
      <c r="C33" s="20" t="s">
        <v>2</v>
      </c>
      <c r="D33" s="19" t="s">
        <v>45</v>
      </c>
      <c r="E33" s="18">
        <v>3.2</v>
      </c>
      <c r="F33" s="59">
        <v>1.2259</v>
      </c>
      <c r="G33" s="79">
        <f>F33/E33</f>
        <v>0.38309374999999996</v>
      </c>
      <c r="H33" s="60"/>
      <c r="I33" s="60"/>
      <c r="J33" s="79"/>
      <c r="K33" s="60"/>
      <c r="L33" s="79"/>
      <c r="M33" s="59"/>
      <c r="N33" s="61"/>
      <c r="O33" s="59"/>
      <c r="P33" s="100"/>
      <c r="Q33" s="2"/>
    </row>
    <row r="34" spans="2:17" ht="15.75">
      <c r="B34" s="108"/>
      <c r="C34" s="20" t="s">
        <v>3</v>
      </c>
      <c r="D34" s="19" t="s">
        <v>45</v>
      </c>
      <c r="E34" s="18">
        <v>4</v>
      </c>
      <c r="F34" s="59">
        <v>1.1892</v>
      </c>
      <c r="G34" s="79">
        <f>F34/E34</f>
        <v>0.2973</v>
      </c>
      <c r="H34" s="60"/>
      <c r="I34" s="60"/>
      <c r="J34" s="79"/>
      <c r="K34" s="60"/>
      <c r="L34" s="79"/>
      <c r="M34" s="59"/>
      <c r="N34" s="61"/>
      <c r="O34" s="59"/>
      <c r="P34" s="101"/>
      <c r="Q34" s="2"/>
    </row>
    <row r="35" spans="2:17" ht="15.75">
      <c r="B35" s="108"/>
      <c r="C35" s="21"/>
      <c r="D35" s="22"/>
      <c r="E35" s="23"/>
      <c r="F35" s="62"/>
      <c r="G35" s="80"/>
      <c r="H35" s="63"/>
      <c r="I35" s="63"/>
      <c r="J35" s="80"/>
      <c r="K35" s="63"/>
      <c r="L35" s="80"/>
      <c r="M35" s="62"/>
      <c r="N35" s="64"/>
      <c r="O35" s="62"/>
      <c r="P35" s="65"/>
      <c r="Q35" s="2"/>
    </row>
    <row r="36" spans="2:17" ht="15.75" customHeight="1">
      <c r="B36" s="108"/>
      <c r="C36" s="48" t="s">
        <v>13</v>
      </c>
      <c r="D36" s="17"/>
      <c r="E36" s="18">
        <f>SUM(E37:E38)</f>
        <v>8</v>
      </c>
      <c r="F36" s="59">
        <f>SUM(F37:F38)</f>
        <v>4.5362</v>
      </c>
      <c r="G36" s="79"/>
      <c r="H36" s="60">
        <f>0.248+0.05+0.014+0.039+0.027+0.004+0.014+0.008+0.008+0.023+0.008+0.008+0.018+0.016+0.012+0.008+0.01</f>
        <v>0.5150000000000001</v>
      </c>
      <c r="I36" s="60">
        <f>F36+H36/0.85</f>
        <v>5.142082352941177</v>
      </c>
      <c r="J36" s="79"/>
      <c r="K36" s="60">
        <f>I36</f>
        <v>5.142082352941177</v>
      </c>
      <c r="L36" s="79">
        <f>K36/E37</f>
        <v>1.2855205882352942</v>
      </c>
      <c r="M36" s="59">
        <f>E37*1.4-F36</f>
        <v>1.0637999999999996</v>
      </c>
      <c r="N36" s="67">
        <f>E37*1.4-I36</f>
        <v>0.45791764705882265</v>
      </c>
      <c r="O36" s="66">
        <f>IF(L36&gt;1.4,0,(E37*140/100)-I36)</f>
        <v>0.45791764705882265</v>
      </c>
      <c r="P36" s="96"/>
      <c r="Q36" s="2"/>
    </row>
    <row r="37" spans="2:17" ht="15.75">
      <c r="B37" s="108"/>
      <c r="C37" s="20" t="s">
        <v>2</v>
      </c>
      <c r="D37" s="25" t="s">
        <v>45</v>
      </c>
      <c r="E37" s="18">
        <v>4</v>
      </c>
      <c r="F37" s="59">
        <v>2.2832</v>
      </c>
      <c r="G37" s="79">
        <f>F37/E37</f>
        <v>0.5708</v>
      </c>
      <c r="H37" s="60"/>
      <c r="I37" s="60"/>
      <c r="J37" s="79"/>
      <c r="K37" s="60"/>
      <c r="L37" s="79"/>
      <c r="M37" s="59"/>
      <c r="N37" s="61"/>
      <c r="O37" s="59"/>
      <c r="P37" s="98"/>
      <c r="Q37" s="2"/>
    </row>
    <row r="38" spans="2:17" ht="15.75">
      <c r="B38" s="108"/>
      <c r="C38" s="20" t="s">
        <v>3</v>
      </c>
      <c r="D38" s="25" t="s">
        <v>48</v>
      </c>
      <c r="E38" s="18">
        <v>4</v>
      </c>
      <c r="F38" s="59">
        <v>2.253</v>
      </c>
      <c r="G38" s="79">
        <f>F38/E38</f>
        <v>0.56325</v>
      </c>
      <c r="H38" s="60"/>
      <c r="I38" s="60"/>
      <c r="J38" s="79"/>
      <c r="K38" s="60"/>
      <c r="L38" s="79"/>
      <c r="M38" s="59"/>
      <c r="N38" s="61"/>
      <c r="O38" s="59"/>
      <c r="P38" s="97"/>
      <c r="Q38" s="2"/>
    </row>
    <row r="39" spans="2:17" ht="15.75">
      <c r="B39" s="108"/>
      <c r="C39" s="21"/>
      <c r="D39" s="22"/>
      <c r="E39" s="23"/>
      <c r="F39" s="62"/>
      <c r="G39" s="80"/>
      <c r="H39" s="63"/>
      <c r="I39" s="63"/>
      <c r="J39" s="80"/>
      <c r="K39" s="63"/>
      <c r="L39" s="80"/>
      <c r="M39" s="62"/>
      <c r="N39" s="64"/>
      <c r="O39" s="62"/>
      <c r="P39" s="65"/>
      <c r="Q39" s="2"/>
    </row>
    <row r="40" spans="2:17" ht="15.75">
      <c r="B40" s="108"/>
      <c r="C40" s="48" t="s">
        <v>14</v>
      </c>
      <c r="D40" s="17"/>
      <c r="E40" s="18">
        <f>E41</f>
        <v>6.3</v>
      </c>
      <c r="F40" s="59">
        <f>F41</f>
        <v>4.7573</v>
      </c>
      <c r="G40" s="79"/>
      <c r="H40" s="60">
        <f>0.563+0.033+0.023+0.007+0.023+0.008+0.022+0.021+0.016+0.016+0.007+0.047+0.044+0.008+0.03+0.023+0.015</f>
        <v>0.9060000000000002</v>
      </c>
      <c r="I40" s="60">
        <f>F40+H40/0.85</f>
        <v>5.823182352941177</v>
      </c>
      <c r="J40" s="79"/>
      <c r="K40" s="60" t="s">
        <v>54</v>
      </c>
      <c r="L40" s="79" t="s">
        <v>54</v>
      </c>
      <c r="M40" s="59">
        <f>E40*1.05-F40</f>
        <v>1.8577000000000004</v>
      </c>
      <c r="N40" s="61">
        <f>E40*1.05-I40</f>
        <v>0.7918176470588234</v>
      </c>
      <c r="O40" s="59">
        <f>IF((E40*1.05-I40)&gt;0,(E40*105/100)-I40,0)</f>
        <v>0.7918176470588234</v>
      </c>
      <c r="P40" s="96"/>
      <c r="Q40" s="2"/>
    </row>
    <row r="41" spans="2:17" ht="15.75">
      <c r="B41" s="108"/>
      <c r="C41" s="20" t="s">
        <v>2</v>
      </c>
      <c r="D41" s="19" t="s">
        <v>45</v>
      </c>
      <c r="E41" s="18">
        <v>6.3</v>
      </c>
      <c r="F41" s="59">
        <v>4.7573</v>
      </c>
      <c r="G41" s="79">
        <f>F41/E41</f>
        <v>0.7551269841269841</v>
      </c>
      <c r="H41" s="60"/>
      <c r="I41" s="60"/>
      <c r="J41" s="79"/>
      <c r="K41" s="60"/>
      <c r="L41" s="79"/>
      <c r="M41" s="59"/>
      <c r="N41" s="61"/>
      <c r="O41" s="59"/>
      <c r="P41" s="97"/>
      <c r="Q41" s="2"/>
    </row>
    <row r="42" spans="2:17" ht="15.75">
      <c r="B42" s="108"/>
      <c r="C42" s="21"/>
      <c r="D42" s="22"/>
      <c r="E42" s="23"/>
      <c r="F42" s="62"/>
      <c r="G42" s="80"/>
      <c r="H42" s="63"/>
      <c r="I42" s="63"/>
      <c r="J42" s="80"/>
      <c r="K42" s="63"/>
      <c r="L42" s="80"/>
      <c r="M42" s="62"/>
      <c r="N42" s="64"/>
      <c r="O42" s="62"/>
      <c r="P42" s="65"/>
      <c r="Q42" s="2"/>
    </row>
    <row r="43" spans="2:16" ht="14.25" customHeight="1">
      <c r="B43" s="108"/>
      <c r="C43" s="49" t="s">
        <v>15</v>
      </c>
      <c r="D43" s="26"/>
      <c r="E43" s="18">
        <f>SUM(E44:E45)</f>
        <v>80</v>
      </c>
      <c r="F43" s="59">
        <f>IF(F44&gt;F45,F44,F45)</f>
        <v>25.0438</v>
      </c>
      <c r="G43" s="81"/>
      <c r="H43" s="59"/>
      <c r="I43" s="59">
        <f>F43+H43/0.85</f>
        <v>25.0438</v>
      </c>
      <c r="J43" s="81"/>
      <c r="K43" s="59">
        <f>I43</f>
        <v>25.0438</v>
      </c>
      <c r="L43" s="81">
        <f>K43/E44</f>
        <v>0.6260950000000001</v>
      </c>
      <c r="M43" s="59">
        <f>E44*1.4-F43</f>
        <v>30.9562</v>
      </c>
      <c r="N43" s="67">
        <f>E44*1.4-I43</f>
        <v>30.9562</v>
      </c>
      <c r="O43" s="66">
        <f>IF(L43&gt;1.4,0,(E44*140/100)-I43)</f>
        <v>30.9562</v>
      </c>
      <c r="P43" s="99" t="s">
        <v>71</v>
      </c>
    </row>
    <row r="44" spans="2:16" ht="12.75">
      <c r="B44" s="108"/>
      <c r="C44" s="27" t="s">
        <v>2</v>
      </c>
      <c r="D44" s="18" t="s">
        <v>49</v>
      </c>
      <c r="E44" s="18">
        <v>40</v>
      </c>
      <c r="F44" s="59">
        <v>25.0438</v>
      </c>
      <c r="G44" s="81">
        <f>F44/E44</f>
        <v>0.6260950000000001</v>
      </c>
      <c r="H44" s="59"/>
      <c r="I44" s="59"/>
      <c r="J44" s="81"/>
      <c r="K44" s="59"/>
      <c r="L44" s="81"/>
      <c r="M44" s="59"/>
      <c r="N44" s="61"/>
      <c r="O44" s="59"/>
      <c r="P44" s="100"/>
    </row>
    <row r="45" spans="2:16" ht="12.75">
      <c r="B45" s="108"/>
      <c r="C45" s="27" t="s">
        <v>3</v>
      </c>
      <c r="D45" s="18" t="s">
        <v>49</v>
      </c>
      <c r="E45" s="18">
        <v>40</v>
      </c>
      <c r="F45" s="59">
        <v>19.3462</v>
      </c>
      <c r="G45" s="81">
        <f>F45/E45</f>
        <v>0.483655</v>
      </c>
      <c r="H45" s="59"/>
      <c r="I45" s="59"/>
      <c r="J45" s="81"/>
      <c r="K45" s="59"/>
      <c r="L45" s="81"/>
      <c r="M45" s="59"/>
      <c r="N45" s="61"/>
      <c r="O45" s="59"/>
      <c r="P45" s="101"/>
    </row>
    <row r="46" spans="2:16" ht="12.75">
      <c r="B46" s="108"/>
      <c r="C46" s="28"/>
      <c r="D46" s="23"/>
      <c r="E46" s="23"/>
      <c r="F46" s="62"/>
      <c r="G46" s="82"/>
      <c r="H46" s="62"/>
      <c r="I46" s="62"/>
      <c r="J46" s="82"/>
      <c r="K46" s="62"/>
      <c r="L46" s="82"/>
      <c r="M46" s="62"/>
      <c r="N46" s="64"/>
      <c r="O46" s="62"/>
      <c r="P46" s="65"/>
    </row>
    <row r="47" spans="2:16" ht="14.25">
      <c r="B47" s="108"/>
      <c r="C47" s="49" t="s">
        <v>16</v>
      </c>
      <c r="D47" s="26"/>
      <c r="E47" s="18">
        <f>SUM(E48:E49)</f>
        <v>3.4000000000000004</v>
      </c>
      <c r="F47" s="59">
        <f>SUM(F48:F49)</f>
        <v>2.7504</v>
      </c>
      <c r="G47" s="81"/>
      <c r="H47" s="59">
        <f>0.2903+0.095+0.015+0.03+0.045+0.01</f>
        <v>0.4853</v>
      </c>
      <c r="I47" s="59">
        <f>F47+H47/0.85</f>
        <v>3.3213411764705882</v>
      </c>
      <c r="J47" s="81"/>
      <c r="K47" s="59">
        <f>I47</f>
        <v>3.3213411764705882</v>
      </c>
      <c r="L47" s="93">
        <f>K47/E48</f>
        <v>2.0758382352941176</v>
      </c>
      <c r="M47" s="92">
        <f>E48*1.4-F47</f>
        <v>-0.5104000000000002</v>
      </c>
      <c r="N47" s="91">
        <f>E48*1.4-I47</f>
        <v>-1.0813411764705885</v>
      </c>
      <c r="O47" s="92">
        <f>IF(L47&gt;1.4,0,(E48*140/100)-I47)</f>
        <v>0</v>
      </c>
      <c r="P47" s="99" t="s">
        <v>70</v>
      </c>
    </row>
    <row r="48" spans="2:16" ht="12.75">
      <c r="B48" s="108"/>
      <c r="C48" s="27" t="s">
        <v>2</v>
      </c>
      <c r="D48" s="18" t="s">
        <v>50</v>
      </c>
      <c r="E48" s="18">
        <v>1.6</v>
      </c>
      <c r="F48" s="59">
        <v>1.3244</v>
      </c>
      <c r="G48" s="81">
        <f>F48/E48</f>
        <v>0.82775</v>
      </c>
      <c r="H48" s="59"/>
      <c r="I48" s="59"/>
      <c r="J48" s="81"/>
      <c r="K48" s="59"/>
      <c r="L48" s="81"/>
      <c r="M48" s="59"/>
      <c r="N48" s="61"/>
      <c r="O48" s="59"/>
      <c r="P48" s="100"/>
    </row>
    <row r="49" spans="2:16" ht="12.75">
      <c r="B49" s="109"/>
      <c r="C49" s="27" t="s">
        <v>3</v>
      </c>
      <c r="D49" s="18" t="s">
        <v>50</v>
      </c>
      <c r="E49" s="18">
        <v>1.8</v>
      </c>
      <c r="F49" s="59">
        <v>1.426</v>
      </c>
      <c r="G49" s="81">
        <f>F49/E49</f>
        <v>0.7922222222222222</v>
      </c>
      <c r="H49" s="59"/>
      <c r="I49" s="59"/>
      <c r="J49" s="81"/>
      <c r="K49" s="59"/>
      <c r="L49" s="81"/>
      <c r="M49" s="59"/>
      <c r="N49" s="61"/>
      <c r="O49" s="59"/>
      <c r="P49" s="101"/>
    </row>
    <row r="50" spans="2:16" ht="15.75" customHeight="1">
      <c r="B50" s="29"/>
      <c r="C50" s="28"/>
      <c r="D50" s="23"/>
      <c r="E50" s="23"/>
      <c r="F50" s="62"/>
      <c r="G50" s="82"/>
      <c r="H50" s="62"/>
      <c r="I50" s="62"/>
      <c r="J50" s="82"/>
      <c r="K50" s="62"/>
      <c r="L50" s="82"/>
      <c r="M50" s="62"/>
      <c r="N50" s="64"/>
      <c r="O50" s="62"/>
      <c r="P50" s="65"/>
    </row>
    <row r="51" spans="2:16" ht="12.75" customHeight="1">
      <c r="B51" s="104" t="s">
        <v>67</v>
      </c>
      <c r="C51" s="50" t="s">
        <v>18</v>
      </c>
      <c r="D51" s="30"/>
      <c r="E51" s="31">
        <f>SUM(E52:E53)</f>
        <v>6.4</v>
      </c>
      <c r="F51" s="59">
        <f>IF(F52&gt;F53,F52,F53)</f>
        <v>3.1131</v>
      </c>
      <c r="G51" s="83"/>
      <c r="H51" s="66">
        <v>0.34284</v>
      </c>
      <c r="I51" s="66">
        <f>F51+H51/0.85</f>
        <v>3.5164411764705883</v>
      </c>
      <c r="J51" s="83"/>
      <c r="K51" s="66">
        <f>I51</f>
        <v>3.5164411764705883</v>
      </c>
      <c r="L51" s="83">
        <f>K51/E52</f>
        <v>1.0988878676470588</v>
      </c>
      <c r="M51" s="59">
        <f>E52*1.4-F51</f>
        <v>1.3668999999999993</v>
      </c>
      <c r="N51" s="67">
        <f>E52*1.4-I51</f>
        <v>0.9635588235294112</v>
      </c>
      <c r="O51" s="66">
        <f>IF(L51&gt;1.4,0,(E52*140/100)-I51)</f>
        <v>0.9635588235294121</v>
      </c>
      <c r="P51" s="99" t="s">
        <v>71</v>
      </c>
    </row>
    <row r="52" spans="2:16" ht="12.75">
      <c r="B52" s="105"/>
      <c r="C52" s="31" t="s">
        <v>2</v>
      </c>
      <c r="D52" s="31" t="s">
        <v>45</v>
      </c>
      <c r="E52" s="31">
        <v>3.2</v>
      </c>
      <c r="F52" s="66">
        <v>3.1131</v>
      </c>
      <c r="G52" s="83">
        <f>F52/E52</f>
        <v>0.97284375</v>
      </c>
      <c r="H52" s="66"/>
      <c r="I52" s="66"/>
      <c r="J52" s="83"/>
      <c r="K52" s="66"/>
      <c r="L52" s="83"/>
      <c r="M52" s="66"/>
      <c r="N52" s="67"/>
      <c r="O52" s="66"/>
      <c r="P52" s="100"/>
    </row>
    <row r="53" spans="2:16" ht="12.75">
      <c r="B53" s="105"/>
      <c r="C53" s="31" t="s">
        <v>3</v>
      </c>
      <c r="D53" s="31" t="s">
        <v>45</v>
      </c>
      <c r="E53" s="31">
        <v>3.2</v>
      </c>
      <c r="F53" s="66">
        <v>2.0443</v>
      </c>
      <c r="G53" s="83">
        <f>F53/E53</f>
        <v>0.6388437499999999</v>
      </c>
      <c r="H53" s="66"/>
      <c r="I53" s="66"/>
      <c r="J53" s="83"/>
      <c r="K53" s="66"/>
      <c r="L53" s="83"/>
      <c r="M53" s="66"/>
      <c r="N53" s="67"/>
      <c r="O53" s="66"/>
      <c r="P53" s="101"/>
    </row>
    <row r="54" spans="2:16" ht="12.75">
      <c r="B54" s="105"/>
      <c r="C54" s="42"/>
      <c r="D54" s="23"/>
      <c r="E54" s="23"/>
      <c r="F54" s="62"/>
      <c r="G54" s="82"/>
      <c r="H54" s="62"/>
      <c r="I54" s="62"/>
      <c r="J54" s="82"/>
      <c r="K54" s="62"/>
      <c r="L54" s="82"/>
      <c r="M54" s="62"/>
      <c r="N54" s="64"/>
      <c r="O54" s="62"/>
      <c r="P54" s="65"/>
    </row>
    <row r="55" spans="2:16" ht="15.75" customHeight="1">
      <c r="B55" s="105"/>
      <c r="C55" s="50" t="s">
        <v>19</v>
      </c>
      <c r="D55" s="31"/>
      <c r="E55" s="31">
        <f>SUM(E56:E57)</f>
        <v>12.6</v>
      </c>
      <c r="F55" s="66">
        <f>SUM(F56:F57)</f>
        <v>5.809799999999999</v>
      </c>
      <c r="G55" s="83"/>
      <c r="H55" s="66">
        <f>0.497+0.095+0.015+0.015</f>
        <v>0.622</v>
      </c>
      <c r="I55" s="66">
        <f>F55+H55/0.85</f>
        <v>6.541564705882352</v>
      </c>
      <c r="J55" s="83"/>
      <c r="K55" s="66">
        <f>I55</f>
        <v>6.541564705882352</v>
      </c>
      <c r="L55" s="83">
        <f>K55/E56</f>
        <v>1.0383436041083098</v>
      </c>
      <c r="M55" s="59">
        <f>E56*1.4-F55</f>
        <v>3.0101999999999993</v>
      </c>
      <c r="N55" s="67">
        <f>E56*1.4-I55</f>
        <v>2.2784352941176467</v>
      </c>
      <c r="O55" s="66">
        <f>IF(L55&gt;1.4,0,(E56*140/100)-I55)</f>
        <v>2.2784352941176484</v>
      </c>
      <c r="P55" s="96"/>
    </row>
    <row r="56" spans="2:16" ht="12.75">
      <c r="B56" s="105"/>
      <c r="C56" s="31" t="s">
        <v>2</v>
      </c>
      <c r="D56" s="31" t="s">
        <v>56</v>
      </c>
      <c r="E56" s="31">
        <v>6.3</v>
      </c>
      <c r="F56" s="66">
        <v>4.2124</v>
      </c>
      <c r="G56" s="83">
        <f>F56/E56</f>
        <v>0.6686349206349206</v>
      </c>
      <c r="H56" s="66"/>
      <c r="I56" s="66"/>
      <c r="J56" s="83"/>
      <c r="K56" s="66"/>
      <c r="L56" s="83"/>
      <c r="M56" s="66"/>
      <c r="N56" s="67"/>
      <c r="O56" s="66"/>
      <c r="P56" s="98"/>
    </row>
    <row r="57" spans="2:16" ht="12.75">
      <c r="B57" s="105"/>
      <c r="C57" s="31" t="s">
        <v>3</v>
      </c>
      <c r="D57" s="31" t="s">
        <v>56</v>
      </c>
      <c r="E57" s="31">
        <v>6.3</v>
      </c>
      <c r="F57" s="66">
        <v>1.5974</v>
      </c>
      <c r="G57" s="83">
        <f>F57/E57</f>
        <v>0.25355555555555553</v>
      </c>
      <c r="H57" s="66"/>
      <c r="I57" s="66"/>
      <c r="J57" s="83"/>
      <c r="K57" s="66"/>
      <c r="L57" s="83"/>
      <c r="M57" s="66"/>
      <c r="N57" s="67"/>
      <c r="O57" s="66"/>
      <c r="P57" s="97"/>
    </row>
    <row r="58" spans="2:16" ht="12.75">
      <c r="B58" s="105"/>
      <c r="C58" s="42"/>
      <c r="D58" s="23"/>
      <c r="E58" s="23"/>
      <c r="F58" s="62"/>
      <c r="G58" s="82"/>
      <c r="H58" s="62"/>
      <c r="I58" s="62"/>
      <c r="J58" s="82"/>
      <c r="K58" s="62"/>
      <c r="L58" s="82"/>
      <c r="M58" s="62"/>
      <c r="N58" s="64"/>
      <c r="O58" s="62"/>
      <c r="P58" s="65"/>
    </row>
    <row r="59" spans="2:16" ht="14.25">
      <c r="B59" s="105"/>
      <c r="C59" s="50" t="s">
        <v>20</v>
      </c>
      <c r="D59" s="31"/>
      <c r="E59" s="31">
        <f>E60</f>
        <v>3.15</v>
      </c>
      <c r="F59" s="66">
        <f>F60</f>
        <v>0.548</v>
      </c>
      <c r="G59" s="83"/>
      <c r="H59" s="66"/>
      <c r="I59" s="60">
        <f>F59+H59/0.85</f>
        <v>0.548</v>
      </c>
      <c r="J59" s="83"/>
      <c r="K59" s="66" t="s">
        <v>54</v>
      </c>
      <c r="L59" s="83" t="s">
        <v>54</v>
      </c>
      <c r="M59" s="59">
        <f>E59*1.05-F59</f>
        <v>2.7595</v>
      </c>
      <c r="N59" s="61">
        <f>E59*1.05-I59</f>
        <v>2.7595</v>
      </c>
      <c r="O59" s="59">
        <f>IF((E59*1.05-I59)&gt;0,(E59*105/100)-I59,0)</f>
        <v>2.7595</v>
      </c>
      <c r="P59" s="96"/>
    </row>
    <row r="60" spans="2:16" ht="12.75">
      <c r="B60" s="105"/>
      <c r="C60" s="31" t="s">
        <v>2</v>
      </c>
      <c r="D60" s="31" t="s">
        <v>57</v>
      </c>
      <c r="E60" s="31">
        <v>3.15</v>
      </c>
      <c r="F60" s="66">
        <v>0.548</v>
      </c>
      <c r="G60" s="83">
        <f>F60/E60</f>
        <v>0.173968253968254</v>
      </c>
      <c r="H60" s="66"/>
      <c r="I60" s="66"/>
      <c r="J60" s="83"/>
      <c r="K60" s="66"/>
      <c r="L60" s="83"/>
      <c r="M60" s="66"/>
      <c r="N60" s="67"/>
      <c r="O60" s="66"/>
      <c r="P60" s="97"/>
    </row>
    <row r="61" spans="2:16" ht="12.75">
      <c r="B61" s="105"/>
      <c r="C61" s="42"/>
      <c r="D61" s="23"/>
      <c r="E61" s="23"/>
      <c r="F61" s="62"/>
      <c r="G61" s="82"/>
      <c r="H61" s="62"/>
      <c r="I61" s="62"/>
      <c r="J61" s="82"/>
      <c r="K61" s="62"/>
      <c r="L61" s="82"/>
      <c r="M61" s="62"/>
      <c r="N61" s="64"/>
      <c r="O61" s="62"/>
      <c r="P61" s="65"/>
    </row>
    <row r="62" spans="2:16" ht="14.25">
      <c r="B62" s="105"/>
      <c r="C62" s="50" t="s">
        <v>21</v>
      </c>
      <c r="D62" s="31"/>
      <c r="E62" s="31">
        <f>E63</f>
        <v>3.15</v>
      </c>
      <c r="F62" s="66">
        <f>F63</f>
        <v>1.9108</v>
      </c>
      <c r="G62" s="83"/>
      <c r="H62" s="66">
        <f>0.03+0.015</f>
        <v>0.045</v>
      </c>
      <c r="I62" s="60">
        <f>F62+H62/0.85</f>
        <v>1.9637411764705883</v>
      </c>
      <c r="J62" s="83"/>
      <c r="K62" s="66" t="s">
        <v>54</v>
      </c>
      <c r="L62" s="83" t="s">
        <v>54</v>
      </c>
      <c r="M62" s="59">
        <f>E62*1.05-F62</f>
        <v>1.3967</v>
      </c>
      <c r="N62" s="61">
        <f>E62*1.05-I62</f>
        <v>1.3437588235294118</v>
      </c>
      <c r="O62" s="59">
        <f>IF((E62*1.05-I62)&gt;0,(E62*105/100)-I62,0)</f>
        <v>1.3437588235294118</v>
      </c>
      <c r="P62" s="96"/>
    </row>
    <row r="63" spans="2:16" ht="12.75">
      <c r="B63" s="105"/>
      <c r="C63" s="31" t="s">
        <v>2</v>
      </c>
      <c r="D63" s="31" t="s">
        <v>45</v>
      </c>
      <c r="E63" s="31">
        <v>3.15</v>
      </c>
      <c r="F63" s="66">
        <v>1.9108</v>
      </c>
      <c r="G63" s="83">
        <f>F63/E63</f>
        <v>0.6066031746031746</v>
      </c>
      <c r="H63" s="66"/>
      <c r="I63" s="66"/>
      <c r="J63" s="83"/>
      <c r="K63" s="66"/>
      <c r="L63" s="83"/>
      <c r="M63" s="66"/>
      <c r="N63" s="67"/>
      <c r="O63" s="66"/>
      <c r="P63" s="97"/>
    </row>
    <row r="64" spans="2:16" ht="12.75">
      <c r="B64" s="105"/>
      <c r="C64" s="42"/>
      <c r="D64" s="23"/>
      <c r="E64" s="23"/>
      <c r="F64" s="62"/>
      <c r="G64" s="82"/>
      <c r="H64" s="62"/>
      <c r="I64" s="62"/>
      <c r="J64" s="82"/>
      <c r="K64" s="62"/>
      <c r="L64" s="82"/>
      <c r="M64" s="62"/>
      <c r="N64" s="64"/>
      <c r="O64" s="62"/>
      <c r="P64" s="65"/>
    </row>
    <row r="65" spans="2:16" ht="14.25">
      <c r="B65" s="105"/>
      <c r="C65" s="50" t="s">
        <v>22</v>
      </c>
      <c r="D65" s="31"/>
      <c r="E65" s="31">
        <f>SUM(E66:E67)</f>
        <v>12.6</v>
      </c>
      <c r="F65" s="59">
        <f>IF(F66&gt;F67,F66,F67)</f>
        <v>1.7875</v>
      </c>
      <c r="G65" s="83"/>
      <c r="H65" s="66"/>
      <c r="I65" s="66">
        <f>F65+H65/0.85</f>
        <v>1.7875</v>
      </c>
      <c r="J65" s="83"/>
      <c r="K65" s="66">
        <f>I65</f>
        <v>1.7875</v>
      </c>
      <c r="L65" s="83">
        <f>K65/E66</f>
        <v>0.2837301587301588</v>
      </c>
      <c r="M65" s="59">
        <f>E66*1.4-F65</f>
        <v>7.032499999999999</v>
      </c>
      <c r="N65" s="67">
        <f>E66*1.4-I65</f>
        <v>7.032499999999999</v>
      </c>
      <c r="O65" s="66">
        <f>IF(L65&gt;1.4,0,(E66*140/100)-I65)</f>
        <v>7.032500000000001</v>
      </c>
      <c r="P65" s="99" t="s">
        <v>71</v>
      </c>
    </row>
    <row r="66" spans="2:16" ht="12.75">
      <c r="B66" s="105"/>
      <c r="C66" s="31" t="s">
        <v>2</v>
      </c>
      <c r="D66" s="31" t="s">
        <v>58</v>
      </c>
      <c r="E66" s="31">
        <v>6.3</v>
      </c>
      <c r="F66" s="66">
        <v>1.5531</v>
      </c>
      <c r="G66" s="83">
        <f>F66/E66</f>
        <v>0.2465238095238095</v>
      </c>
      <c r="H66" s="66"/>
      <c r="I66" s="66"/>
      <c r="J66" s="83"/>
      <c r="K66" s="66"/>
      <c r="L66" s="83"/>
      <c r="M66" s="66"/>
      <c r="N66" s="67"/>
      <c r="O66" s="66"/>
      <c r="P66" s="100"/>
    </row>
    <row r="67" spans="2:16" ht="12.75">
      <c r="B67" s="105"/>
      <c r="C67" s="31" t="s">
        <v>3</v>
      </c>
      <c r="D67" s="31" t="s">
        <v>58</v>
      </c>
      <c r="E67" s="31">
        <v>6.3</v>
      </c>
      <c r="F67" s="66">
        <v>1.7875</v>
      </c>
      <c r="G67" s="83">
        <f>F67/E67</f>
        <v>0.2837301587301588</v>
      </c>
      <c r="H67" s="66"/>
      <c r="I67" s="66"/>
      <c r="J67" s="83"/>
      <c r="K67" s="66"/>
      <c r="L67" s="83"/>
      <c r="M67" s="66"/>
      <c r="N67" s="67"/>
      <c r="O67" s="66"/>
      <c r="P67" s="101"/>
    </row>
    <row r="68" spans="2:16" ht="12.75">
      <c r="B68" s="105"/>
      <c r="C68" s="42"/>
      <c r="D68" s="23"/>
      <c r="E68" s="23"/>
      <c r="F68" s="62"/>
      <c r="G68" s="82"/>
      <c r="H68" s="62"/>
      <c r="I68" s="62"/>
      <c r="J68" s="82"/>
      <c r="K68" s="62"/>
      <c r="L68" s="82"/>
      <c r="M68" s="62"/>
      <c r="N68" s="64"/>
      <c r="O68" s="62"/>
      <c r="P68" s="65"/>
    </row>
    <row r="69" spans="2:16" ht="14.25">
      <c r="B69" s="105"/>
      <c r="C69" s="50" t="s">
        <v>23</v>
      </c>
      <c r="D69" s="31"/>
      <c r="E69" s="31">
        <f>E70</f>
        <v>2.5</v>
      </c>
      <c r="F69" s="66">
        <f>F70</f>
        <v>0.6241</v>
      </c>
      <c r="G69" s="83"/>
      <c r="H69" s="66">
        <v>0.05</v>
      </c>
      <c r="I69" s="60">
        <f>F69+H69/0.85</f>
        <v>0.6829235294117647</v>
      </c>
      <c r="J69" s="83"/>
      <c r="K69" s="66" t="s">
        <v>54</v>
      </c>
      <c r="L69" s="83" t="s">
        <v>54</v>
      </c>
      <c r="M69" s="59">
        <f>E69*1.05-F69</f>
        <v>2.0009</v>
      </c>
      <c r="N69" s="61">
        <f>E69*1.05-I69</f>
        <v>1.9420764705882352</v>
      </c>
      <c r="O69" s="59">
        <f>IF((E69*1.05-I69)&gt;0,(E69*105/100)-I69,0)</f>
        <v>1.9420764705882352</v>
      </c>
      <c r="P69" s="96"/>
    </row>
    <row r="70" spans="2:16" ht="12.75">
      <c r="B70" s="105"/>
      <c r="C70" s="31" t="s">
        <v>2</v>
      </c>
      <c r="D70" s="31" t="s">
        <v>45</v>
      </c>
      <c r="E70" s="31">
        <v>2.5</v>
      </c>
      <c r="F70" s="66">
        <v>0.6241</v>
      </c>
      <c r="G70" s="83">
        <f>F70/E70</f>
        <v>0.24964</v>
      </c>
      <c r="H70" s="66"/>
      <c r="I70" s="66"/>
      <c r="J70" s="83"/>
      <c r="K70" s="66"/>
      <c r="L70" s="83"/>
      <c r="M70" s="66"/>
      <c r="N70" s="67"/>
      <c r="O70" s="66"/>
      <c r="P70" s="97"/>
    </row>
    <row r="71" spans="2:16" ht="12.75">
      <c r="B71" s="105"/>
      <c r="C71" s="42"/>
      <c r="D71" s="23"/>
      <c r="E71" s="23"/>
      <c r="F71" s="62"/>
      <c r="G71" s="82"/>
      <c r="H71" s="62"/>
      <c r="I71" s="62"/>
      <c r="J71" s="82"/>
      <c r="K71" s="62"/>
      <c r="L71" s="82"/>
      <c r="M71" s="62"/>
      <c r="N71" s="64"/>
      <c r="O71" s="62"/>
      <c r="P71" s="65"/>
    </row>
    <row r="72" spans="2:16" ht="14.25">
      <c r="B72" s="105"/>
      <c r="C72" s="50" t="s">
        <v>24</v>
      </c>
      <c r="D72" s="31"/>
      <c r="E72" s="31">
        <f>SUM(E73:E74)</f>
        <v>3.2</v>
      </c>
      <c r="F72" s="66">
        <f>SUM(F73:F74)</f>
        <v>0.9781</v>
      </c>
      <c r="G72" s="83"/>
      <c r="H72" s="66">
        <f>0.13434+0.015+0.015</f>
        <v>0.16433999999999999</v>
      </c>
      <c r="I72" s="66">
        <f>F72+H72/0.85</f>
        <v>1.171441176470588</v>
      </c>
      <c r="J72" s="83"/>
      <c r="K72" s="66">
        <f>I72</f>
        <v>1.171441176470588</v>
      </c>
      <c r="L72" s="83">
        <f>K72/E73</f>
        <v>0.7321507352941176</v>
      </c>
      <c r="M72" s="59">
        <f>E73*1.4-F72</f>
        <v>1.2618999999999998</v>
      </c>
      <c r="N72" s="67">
        <f>E73*1.4-I72</f>
        <v>1.0685588235294117</v>
      </c>
      <c r="O72" s="66">
        <f>IF(L72&gt;1.4,0,(E73*140/100)-I72)</f>
        <v>1.0685588235294121</v>
      </c>
      <c r="P72" s="96"/>
    </row>
    <row r="73" spans="2:16" ht="12.75">
      <c r="B73" s="105"/>
      <c r="C73" s="31" t="s">
        <v>2</v>
      </c>
      <c r="D73" s="31" t="s">
        <v>50</v>
      </c>
      <c r="E73" s="31">
        <v>1.6</v>
      </c>
      <c r="F73" s="66">
        <v>0.5094</v>
      </c>
      <c r="G73" s="83">
        <f>F73/E73</f>
        <v>0.31837499999999996</v>
      </c>
      <c r="H73" s="66"/>
      <c r="I73" s="66"/>
      <c r="J73" s="83"/>
      <c r="K73" s="66"/>
      <c r="L73" s="83"/>
      <c r="M73" s="66"/>
      <c r="N73" s="67"/>
      <c r="O73" s="66"/>
      <c r="P73" s="98"/>
    </row>
    <row r="74" spans="2:16" ht="12.75">
      <c r="B74" s="105"/>
      <c r="C74" s="31" t="s">
        <v>3</v>
      </c>
      <c r="D74" s="31" t="s">
        <v>50</v>
      </c>
      <c r="E74" s="31">
        <v>1.6</v>
      </c>
      <c r="F74" s="66">
        <v>0.4687</v>
      </c>
      <c r="G74" s="83">
        <f>F74/E74</f>
        <v>0.29293749999999996</v>
      </c>
      <c r="H74" s="66"/>
      <c r="I74" s="66"/>
      <c r="J74" s="83"/>
      <c r="K74" s="66"/>
      <c r="L74" s="83"/>
      <c r="M74" s="66"/>
      <c r="N74" s="67"/>
      <c r="O74" s="66"/>
      <c r="P74" s="97"/>
    </row>
    <row r="75" spans="2:16" ht="12.75">
      <c r="B75" s="105"/>
      <c r="C75" s="42"/>
      <c r="D75" s="23"/>
      <c r="E75" s="23"/>
      <c r="F75" s="62"/>
      <c r="G75" s="82"/>
      <c r="H75" s="62"/>
      <c r="I75" s="62"/>
      <c r="J75" s="82"/>
      <c r="K75" s="62"/>
      <c r="L75" s="82"/>
      <c r="M75" s="62"/>
      <c r="N75" s="64"/>
      <c r="O75" s="62"/>
      <c r="P75" s="65"/>
    </row>
    <row r="76" spans="2:16" ht="14.25">
      <c r="B76" s="105"/>
      <c r="C76" s="50" t="s">
        <v>25</v>
      </c>
      <c r="D76" s="31"/>
      <c r="E76" s="31">
        <f>SUM(E77:E78)</f>
        <v>5</v>
      </c>
      <c r="F76" s="66">
        <f>SUM(F77:F78)</f>
        <v>1.1206999999999998</v>
      </c>
      <c r="G76" s="83"/>
      <c r="H76" s="66">
        <f>0.197+0.023+0.03+0.03</f>
        <v>0.28</v>
      </c>
      <c r="I76" s="66">
        <f>F76+H76/0.85</f>
        <v>1.4501117647058823</v>
      </c>
      <c r="J76" s="83"/>
      <c r="K76" s="66">
        <f>I76</f>
        <v>1.4501117647058823</v>
      </c>
      <c r="L76" s="83">
        <f>K76/E77</f>
        <v>0.5800447058823529</v>
      </c>
      <c r="M76" s="59">
        <f>E77*1.4-F76</f>
        <v>2.3793</v>
      </c>
      <c r="N76" s="67">
        <f>E77*1.4-I76</f>
        <v>2.0498882352941177</v>
      </c>
      <c r="O76" s="66">
        <f>IF(L76&gt;1.4,0,(E77*140/100)-I76)</f>
        <v>2.0498882352941177</v>
      </c>
      <c r="P76" s="96"/>
    </row>
    <row r="77" spans="2:16" ht="12.75">
      <c r="B77" s="105"/>
      <c r="C77" s="31" t="s">
        <v>2</v>
      </c>
      <c r="D77" s="31" t="s">
        <v>50</v>
      </c>
      <c r="E77" s="31">
        <v>2.5</v>
      </c>
      <c r="F77" s="66">
        <v>0.6113</v>
      </c>
      <c r="G77" s="83">
        <f>F77/E77</f>
        <v>0.24452</v>
      </c>
      <c r="H77" s="66"/>
      <c r="I77" s="66"/>
      <c r="J77" s="83"/>
      <c r="K77" s="66"/>
      <c r="L77" s="83"/>
      <c r="M77" s="66"/>
      <c r="N77" s="67"/>
      <c r="O77" s="66"/>
      <c r="P77" s="98"/>
    </row>
    <row r="78" spans="2:16" ht="12.75">
      <c r="B78" s="105"/>
      <c r="C78" s="31" t="s">
        <v>3</v>
      </c>
      <c r="D78" s="31" t="s">
        <v>50</v>
      </c>
      <c r="E78" s="31">
        <v>2.5</v>
      </c>
      <c r="F78" s="66">
        <v>0.5094</v>
      </c>
      <c r="G78" s="83">
        <f>F78/E78</f>
        <v>0.20376</v>
      </c>
      <c r="H78" s="66"/>
      <c r="I78" s="66"/>
      <c r="J78" s="83"/>
      <c r="K78" s="66"/>
      <c r="L78" s="83"/>
      <c r="M78" s="66"/>
      <c r="N78" s="67"/>
      <c r="O78" s="66"/>
      <c r="P78" s="97"/>
    </row>
    <row r="79" spans="2:16" ht="12.75">
      <c r="B79" s="105"/>
      <c r="C79" s="42"/>
      <c r="D79" s="23"/>
      <c r="E79" s="23"/>
      <c r="F79" s="62"/>
      <c r="G79" s="82"/>
      <c r="H79" s="62"/>
      <c r="I79" s="62"/>
      <c r="J79" s="82"/>
      <c r="K79" s="62"/>
      <c r="L79" s="82"/>
      <c r="M79" s="62"/>
      <c r="N79" s="64"/>
      <c r="O79" s="62"/>
      <c r="P79" s="65"/>
    </row>
    <row r="80" spans="2:16" ht="14.25">
      <c r="B80" s="105"/>
      <c r="C80" s="50" t="s">
        <v>26</v>
      </c>
      <c r="D80" s="31"/>
      <c r="E80" s="31">
        <f>E81</f>
        <v>1.6</v>
      </c>
      <c r="F80" s="66">
        <f>F81</f>
        <v>0.4075</v>
      </c>
      <c r="G80" s="83"/>
      <c r="H80" s="66">
        <v>0.015</v>
      </c>
      <c r="I80" s="60">
        <f>F80+H80/0.85</f>
        <v>0.4251470588235294</v>
      </c>
      <c r="J80" s="83"/>
      <c r="K80" s="66" t="s">
        <v>54</v>
      </c>
      <c r="L80" s="83" t="s">
        <v>54</v>
      </c>
      <c r="M80" s="59">
        <f>E80*1.05-F80</f>
        <v>1.2725000000000002</v>
      </c>
      <c r="N80" s="61">
        <f>E80*1.05-I80</f>
        <v>1.2548529411764708</v>
      </c>
      <c r="O80" s="59">
        <f>IF((E80*1.05-I80)&gt;0,(E80*105/100)-I80,0)</f>
        <v>1.2548529411764706</v>
      </c>
      <c r="P80" s="96"/>
    </row>
    <row r="81" spans="2:16" ht="12.75">
      <c r="B81" s="105"/>
      <c r="C81" s="31" t="s">
        <v>2</v>
      </c>
      <c r="D81" s="31" t="s">
        <v>47</v>
      </c>
      <c r="E81" s="31">
        <v>1.6</v>
      </c>
      <c r="F81" s="66">
        <v>0.4075</v>
      </c>
      <c r="G81" s="83">
        <f>F81/E81</f>
        <v>0.25468749999999996</v>
      </c>
      <c r="H81" s="66"/>
      <c r="I81" s="66"/>
      <c r="J81" s="83"/>
      <c r="K81" s="66"/>
      <c r="L81" s="83"/>
      <c r="M81" s="66"/>
      <c r="N81" s="67"/>
      <c r="O81" s="66"/>
      <c r="P81" s="97"/>
    </row>
    <row r="82" spans="2:16" ht="12.75">
      <c r="B82" s="105"/>
      <c r="C82" s="42"/>
      <c r="D82" s="23"/>
      <c r="E82" s="23"/>
      <c r="F82" s="62"/>
      <c r="G82" s="82"/>
      <c r="H82" s="62"/>
      <c r="I82" s="62"/>
      <c r="J82" s="82"/>
      <c r="K82" s="62"/>
      <c r="L82" s="82"/>
      <c r="M82" s="62"/>
      <c r="N82" s="64"/>
      <c r="O82" s="62"/>
      <c r="P82" s="65"/>
    </row>
    <row r="83" spans="2:16" ht="14.25">
      <c r="B83" s="105"/>
      <c r="C83" s="50" t="s">
        <v>27</v>
      </c>
      <c r="D83" s="31"/>
      <c r="E83" s="31">
        <f>E84</f>
        <v>1.6</v>
      </c>
      <c r="F83" s="66">
        <f>F84</f>
        <v>0.7927</v>
      </c>
      <c r="G83" s="83"/>
      <c r="H83" s="66"/>
      <c r="I83" s="60">
        <f>F83+H83/0.85</f>
        <v>0.7927</v>
      </c>
      <c r="J83" s="83"/>
      <c r="K83" s="66" t="s">
        <v>54</v>
      </c>
      <c r="L83" s="83" t="s">
        <v>54</v>
      </c>
      <c r="M83" s="59">
        <f>E83*1.05-F83</f>
        <v>0.8873000000000002</v>
      </c>
      <c r="N83" s="61">
        <f>E83*1.05-I83</f>
        <v>0.8873000000000002</v>
      </c>
      <c r="O83" s="59">
        <f>IF((E83*1.05-I83)&gt;0,(E83*105/100)-I83,0)</f>
        <v>0.8873</v>
      </c>
      <c r="P83" s="96"/>
    </row>
    <row r="84" spans="2:16" ht="12.75">
      <c r="B84" s="105"/>
      <c r="C84" s="31" t="s">
        <v>2</v>
      </c>
      <c r="D84" s="31" t="s">
        <v>45</v>
      </c>
      <c r="E84" s="31">
        <v>1.6</v>
      </c>
      <c r="F84" s="66">
        <v>0.7927</v>
      </c>
      <c r="G84" s="83">
        <f>F84/E84</f>
        <v>0.4954375</v>
      </c>
      <c r="H84" s="66"/>
      <c r="I84" s="66"/>
      <c r="J84" s="83"/>
      <c r="K84" s="66"/>
      <c r="L84" s="83"/>
      <c r="M84" s="66"/>
      <c r="N84" s="67"/>
      <c r="O84" s="66"/>
      <c r="P84" s="97"/>
    </row>
    <row r="85" spans="2:16" ht="12.75">
      <c r="B85" s="105"/>
      <c r="C85" s="42"/>
      <c r="D85" s="23"/>
      <c r="E85" s="23"/>
      <c r="F85" s="62"/>
      <c r="G85" s="82"/>
      <c r="H85" s="62"/>
      <c r="I85" s="62"/>
      <c r="J85" s="82"/>
      <c r="K85" s="62"/>
      <c r="L85" s="82"/>
      <c r="M85" s="62"/>
      <c r="N85" s="64"/>
      <c r="O85" s="62"/>
      <c r="P85" s="65"/>
    </row>
    <row r="86" spans="2:16" ht="14.25">
      <c r="B86" s="105"/>
      <c r="C86" s="50" t="s">
        <v>28</v>
      </c>
      <c r="D86" s="31"/>
      <c r="E86" s="31">
        <f>SUM(E87:E88)</f>
        <v>40</v>
      </c>
      <c r="F86" s="59">
        <f>IF(F87&gt;F88,F87,F88)</f>
        <v>15.5102</v>
      </c>
      <c r="G86" s="83"/>
      <c r="H86" s="66">
        <f>0.822+0.008+0.015+0.023</f>
        <v>0.868</v>
      </c>
      <c r="I86" s="66">
        <f>F86+H86/0.85</f>
        <v>16.531376470588235</v>
      </c>
      <c r="J86" s="83"/>
      <c r="K86" s="66">
        <f>I86</f>
        <v>16.531376470588235</v>
      </c>
      <c r="L86" s="83">
        <f>K86/E87</f>
        <v>0.8265688235294117</v>
      </c>
      <c r="M86" s="66">
        <f>E87*1.4-F86</f>
        <v>12.4898</v>
      </c>
      <c r="N86" s="67">
        <f>E87*1.4-I86</f>
        <v>11.468623529411765</v>
      </c>
      <c r="O86" s="66">
        <f>IF(L86&gt;1.4,0,(E87*140/100)-I86)</f>
        <v>11.468623529411765</v>
      </c>
      <c r="P86" s="99"/>
    </row>
    <row r="87" spans="2:16" ht="12.75">
      <c r="B87" s="105"/>
      <c r="C87" s="31" t="s">
        <v>2</v>
      </c>
      <c r="D87" s="31" t="s">
        <v>59</v>
      </c>
      <c r="E87" s="31">
        <v>20</v>
      </c>
      <c r="F87" s="66">
        <v>15.5102</v>
      </c>
      <c r="G87" s="83">
        <f>F87/E87</f>
        <v>0.7755099999999999</v>
      </c>
      <c r="H87" s="66"/>
      <c r="I87" s="66"/>
      <c r="J87" s="83"/>
      <c r="K87" s="66"/>
      <c r="L87" s="83"/>
      <c r="M87" s="66"/>
      <c r="N87" s="67"/>
      <c r="O87" s="66"/>
      <c r="P87" s="100"/>
    </row>
    <row r="88" spans="2:16" ht="12.75">
      <c r="B88" s="105"/>
      <c r="C88" s="31" t="s">
        <v>3</v>
      </c>
      <c r="D88" s="31" t="s">
        <v>59</v>
      </c>
      <c r="E88" s="31">
        <v>20</v>
      </c>
      <c r="F88" s="66">
        <v>15.4627</v>
      </c>
      <c r="G88" s="83">
        <f>F88/E88</f>
        <v>0.773135</v>
      </c>
      <c r="H88" s="66"/>
      <c r="I88" s="66"/>
      <c r="J88" s="83"/>
      <c r="K88" s="66"/>
      <c r="L88" s="83"/>
      <c r="M88" s="66"/>
      <c r="N88" s="67"/>
      <c r="O88" s="66"/>
      <c r="P88" s="101"/>
    </row>
    <row r="89" spans="2:16" ht="12.75">
      <c r="B89" s="105"/>
      <c r="C89" s="42"/>
      <c r="D89" s="23"/>
      <c r="E89" s="23"/>
      <c r="F89" s="62"/>
      <c r="G89" s="82"/>
      <c r="H89" s="62"/>
      <c r="I89" s="62"/>
      <c r="J89" s="82"/>
      <c r="K89" s="62"/>
      <c r="L89" s="82"/>
      <c r="M89" s="62"/>
      <c r="N89" s="64"/>
      <c r="O89" s="62"/>
      <c r="P89" s="65"/>
    </row>
    <row r="90" spans="2:16" ht="14.25">
      <c r="B90" s="105"/>
      <c r="C90" s="50" t="s">
        <v>38</v>
      </c>
      <c r="D90" s="31"/>
      <c r="E90" s="31">
        <f>SUM(E91:E92)</f>
        <v>8</v>
      </c>
      <c r="F90" s="66">
        <f>SUM(F91:F92)</f>
        <v>2.0079</v>
      </c>
      <c r="G90" s="83"/>
      <c r="H90" s="66">
        <f>0.265</f>
        <v>0.265</v>
      </c>
      <c r="I90" s="66">
        <f>F90+H90/0.85</f>
        <v>2.319664705882353</v>
      </c>
      <c r="J90" s="83"/>
      <c r="K90" s="66">
        <f>I90</f>
        <v>2.319664705882353</v>
      </c>
      <c r="L90" s="83">
        <f>K90/E91</f>
        <v>0.5799161764705882</v>
      </c>
      <c r="M90" s="59">
        <f>E91*1.4-F90</f>
        <v>3.5921</v>
      </c>
      <c r="N90" s="67">
        <f>E91*1.4-I90</f>
        <v>3.2803352941176467</v>
      </c>
      <c r="O90" s="66">
        <f>IF(L90&gt;1.4,0,(E91*140/100)-I90)</f>
        <v>3.2803352941176467</v>
      </c>
      <c r="P90" s="96"/>
    </row>
    <row r="91" spans="2:16" ht="12.75">
      <c r="B91" s="105"/>
      <c r="C91" s="31" t="s">
        <v>2</v>
      </c>
      <c r="D91" s="31" t="s">
        <v>60</v>
      </c>
      <c r="E91" s="31">
        <v>4</v>
      </c>
      <c r="F91" s="66">
        <v>1.1097</v>
      </c>
      <c r="G91" s="83">
        <f>F91/E91</f>
        <v>0.277425</v>
      </c>
      <c r="H91" s="66"/>
      <c r="I91" s="66"/>
      <c r="J91" s="83"/>
      <c r="K91" s="66"/>
      <c r="L91" s="83"/>
      <c r="M91" s="66"/>
      <c r="N91" s="67"/>
      <c r="O91" s="66"/>
      <c r="P91" s="98"/>
    </row>
    <row r="92" spans="2:16" ht="12.75">
      <c r="B92" s="105"/>
      <c r="C92" s="31" t="s">
        <v>3</v>
      </c>
      <c r="D92" s="31" t="s">
        <v>60</v>
      </c>
      <c r="E92" s="31">
        <v>4</v>
      </c>
      <c r="F92" s="66">
        <v>0.8982</v>
      </c>
      <c r="G92" s="83">
        <f>F92/E92</f>
        <v>0.22455</v>
      </c>
      <c r="H92" s="66"/>
      <c r="I92" s="66"/>
      <c r="J92" s="83"/>
      <c r="K92" s="66"/>
      <c r="L92" s="83"/>
      <c r="M92" s="66"/>
      <c r="N92" s="67"/>
      <c r="O92" s="66"/>
      <c r="P92" s="97"/>
    </row>
    <row r="93" spans="2:16" ht="12.75">
      <c r="B93" s="105"/>
      <c r="C93" s="42"/>
      <c r="D93" s="23"/>
      <c r="E93" s="23"/>
      <c r="F93" s="62"/>
      <c r="G93" s="82"/>
      <c r="H93" s="62"/>
      <c r="I93" s="62"/>
      <c r="J93" s="82"/>
      <c r="K93" s="62"/>
      <c r="L93" s="82"/>
      <c r="M93" s="62"/>
      <c r="N93" s="64"/>
      <c r="O93" s="62"/>
      <c r="P93" s="65"/>
    </row>
    <row r="94" spans="2:16" ht="14.25">
      <c r="B94" s="105"/>
      <c r="C94" s="50" t="s">
        <v>29</v>
      </c>
      <c r="D94" s="31"/>
      <c r="E94" s="31">
        <f>SUM(E95:E96)</f>
        <v>32</v>
      </c>
      <c r="F94" s="66">
        <f>SUM(F95:F96)</f>
        <v>10.476700000000001</v>
      </c>
      <c r="G94" s="83"/>
      <c r="H94" s="66"/>
      <c r="I94" s="66">
        <f>F94+H94/0.85</f>
        <v>10.476700000000001</v>
      </c>
      <c r="J94" s="83"/>
      <c r="K94" s="66">
        <f>I94</f>
        <v>10.476700000000001</v>
      </c>
      <c r="L94" s="83">
        <f>K94/E95</f>
        <v>0.6547937500000001</v>
      </c>
      <c r="M94" s="59">
        <f>E95*1.4-F94</f>
        <v>11.923299999999998</v>
      </c>
      <c r="N94" s="67">
        <f>E95*1.4-I94</f>
        <v>11.923299999999998</v>
      </c>
      <c r="O94" s="66">
        <f>IF(L94&gt;1.4,0,(E95*140/100)-I94)</f>
        <v>11.923299999999998</v>
      </c>
      <c r="P94" s="96"/>
    </row>
    <row r="95" spans="2:16" ht="12.75">
      <c r="B95" s="105"/>
      <c r="C95" s="31" t="s">
        <v>2</v>
      </c>
      <c r="D95" s="31" t="s">
        <v>61</v>
      </c>
      <c r="E95" s="32">
        <v>16</v>
      </c>
      <c r="F95" s="68">
        <v>5.3703</v>
      </c>
      <c r="G95" s="83">
        <f>F95/E95</f>
        <v>0.33564375</v>
      </c>
      <c r="H95" s="66"/>
      <c r="I95" s="66"/>
      <c r="J95" s="83"/>
      <c r="K95" s="66"/>
      <c r="L95" s="83"/>
      <c r="M95" s="68"/>
      <c r="N95" s="69"/>
      <c r="O95" s="68"/>
      <c r="P95" s="98"/>
    </row>
    <row r="96" spans="2:16" ht="12.75">
      <c r="B96" s="105"/>
      <c r="C96" s="31" t="s">
        <v>3</v>
      </c>
      <c r="D96" s="31" t="s">
        <v>61</v>
      </c>
      <c r="E96" s="32">
        <v>16</v>
      </c>
      <c r="F96" s="68">
        <v>5.1064</v>
      </c>
      <c r="G96" s="83">
        <f>F96/E96</f>
        <v>0.31915</v>
      </c>
      <c r="H96" s="66"/>
      <c r="I96" s="66"/>
      <c r="J96" s="83"/>
      <c r="K96" s="66"/>
      <c r="L96" s="83"/>
      <c r="M96" s="68"/>
      <c r="N96" s="69"/>
      <c r="O96" s="68"/>
      <c r="P96" s="97"/>
    </row>
    <row r="97" spans="2:16" ht="12.75">
      <c r="B97" s="105"/>
      <c r="C97" s="42"/>
      <c r="D97" s="23"/>
      <c r="E97" s="24"/>
      <c r="F97" s="63"/>
      <c r="G97" s="82"/>
      <c r="H97" s="62"/>
      <c r="I97" s="62"/>
      <c r="J97" s="82"/>
      <c r="K97" s="62"/>
      <c r="L97" s="82"/>
      <c r="M97" s="63"/>
      <c r="N97" s="70"/>
      <c r="O97" s="63"/>
      <c r="P97" s="65"/>
    </row>
    <row r="98" spans="2:16" ht="14.25">
      <c r="B98" s="105"/>
      <c r="C98" s="50" t="s">
        <v>30</v>
      </c>
      <c r="D98" s="31"/>
      <c r="E98" s="32">
        <f>SUM(E99:E100)</f>
        <v>5</v>
      </c>
      <c r="F98" s="68">
        <f>SUM(F99:F100)</f>
        <v>2.5543</v>
      </c>
      <c r="G98" s="83"/>
      <c r="H98" s="66">
        <f>0.28625+0.075+0.049+0.008+0.03+0.02+0.015+0.03+0.015+0.008+0.052+0.008+0.03+0.008+0.007+0.01554+0.015</f>
        <v>0.6717900000000002</v>
      </c>
      <c r="I98" s="66">
        <f>F98+H98/0.85</f>
        <v>3.3446411764705886</v>
      </c>
      <c r="J98" s="83"/>
      <c r="K98" s="66">
        <f>I98</f>
        <v>3.3446411764705886</v>
      </c>
      <c r="L98" s="83">
        <f>K98/E99</f>
        <v>1.3378564705882354</v>
      </c>
      <c r="M98" s="59">
        <f>E99*1.4-F98</f>
        <v>0.9457</v>
      </c>
      <c r="N98" s="67">
        <f>E99*1.4-I98</f>
        <v>0.15535882352941144</v>
      </c>
      <c r="O98" s="66">
        <f>IF(L98&gt;1.4,0,(E99*140/100)-I98)</f>
        <v>0.15535882352941144</v>
      </c>
      <c r="P98" s="96"/>
    </row>
    <row r="99" spans="2:16" ht="12.75">
      <c r="B99" s="105"/>
      <c r="C99" s="31" t="s">
        <v>2</v>
      </c>
      <c r="D99" s="31" t="s">
        <v>62</v>
      </c>
      <c r="E99" s="32">
        <v>2.5</v>
      </c>
      <c r="F99" s="68">
        <v>1.0826</v>
      </c>
      <c r="G99" s="83">
        <f>F99/E99</f>
        <v>0.43304</v>
      </c>
      <c r="H99" s="66"/>
      <c r="I99" s="66"/>
      <c r="J99" s="83"/>
      <c r="K99" s="66"/>
      <c r="L99" s="83"/>
      <c r="M99" s="68"/>
      <c r="N99" s="69"/>
      <c r="O99" s="68"/>
      <c r="P99" s="98"/>
    </row>
    <row r="100" spans="2:16" ht="12.75">
      <c r="B100" s="105"/>
      <c r="C100" s="31" t="s">
        <v>3</v>
      </c>
      <c r="D100" s="31" t="s">
        <v>62</v>
      </c>
      <c r="E100" s="32">
        <v>2.5</v>
      </c>
      <c r="F100" s="68">
        <v>1.4717</v>
      </c>
      <c r="G100" s="83">
        <f>F100/E100</f>
        <v>0.58868</v>
      </c>
      <c r="H100" s="66"/>
      <c r="I100" s="66"/>
      <c r="J100" s="83"/>
      <c r="K100" s="66"/>
      <c r="L100" s="83"/>
      <c r="M100" s="68"/>
      <c r="N100" s="69"/>
      <c r="O100" s="68"/>
      <c r="P100" s="97"/>
    </row>
    <row r="101" spans="2:16" ht="12.75">
      <c r="B101" s="105"/>
      <c r="C101" s="42"/>
      <c r="D101" s="23"/>
      <c r="E101" s="24"/>
      <c r="F101" s="63"/>
      <c r="G101" s="82"/>
      <c r="H101" s="62"/>
      <c r="I101" s="62"/>
      <c r="J101" s="82"/>
      <c r="K101" s="62"/>
      <c r="L101" s="82"/>
      <c r="M101" s="63"/>
      <c r="N101" s="70"/>
      <c r="O101" s="63"/>
      <c r="P101" s="65"/>
    </row>
    <row r="102" spans="2:16" ht="14.25">
      <c r="B102" s="105"/>
      <c r="C102" s="51" t="s">
        <v>17</v>
      </c>
      <c r="D102" s="43"/>
      <c r="E102" s="32">
        <f>E103</f>
        <v>0.75</v>
      </c>
      <c r="F102" s="68">
        <f>F103</f>
        <v>0.9815</v>
      </c>
      <c r="G102" s="84"/>
      <c r="H102" s="71">
        <v>0.128</v>
      </c>
      <c r="I102" s="60">
        <f>F102+H102/0.9</f>
        <v>1.1237222222222223</v>
      </c>
      <c r="J102" s="84"/>
      <c r="K102" s="71" t="s">
        <v>54</v>
      </c>
      <c r="L102" s="84" t="s">
        <v>54</v>
      </c>
      <c r="M102" s="92">
        <f>E102*1.05-F102</f>
        <v>-0.19399999999999995</v>
      </c>
      <c r="N102" s="91">
        <f>E102*1.05-I102</f>
        <v>-0.3362222222222222</v>
      </c>
      <c r="O102" s="92">
        <f>IF((E102*1.05-I102)&gt;0,(E102*105/100)-I102,0)</f>
        <v>0</v>
      </c>
      <c r="P102" s="99" t="s">
        <v>73</v>
      </c>
    </row>
    <row r="103" spans="2:16" ht="12.75">
      <c r="B103" s="105"/>
      <c r="C103" s="33" t="s">
        <v>2</v>
      </c>
      <c r="D103" s="33" t="s">
        <v>63</v>
      </c>
      <c r="E103" s="32">
        <v>0.75</v>
      </c>
      <c r="F103" s="68">
        <v>0.9815</v>
      </c>
      <c r="G103" s="84">
        <f>F103/E103</f>
        <v>1.3086666666666666</v>
      </c>
      <c r="H103" s="71"/>
      <c r="I103" s="71"/>
      <c r="J103" s="84"/>
      <c r="K103" s="71"/>
      <c r="L103" s="84"/>
      <c r="M103" s="68"/>
      <c r="N103" s="69"/>
      <c r="O103" s="68"/>
      <c r="P103" s="101"/>
    </row>
    <row r="104" spans="2:16" ht="12.75">
      <c r="B104" s="105"/>
      <c r="C104" s="52"/>
      <c r="D104" s="46"/>
      <c r="E104" s="24"/>
      <c r="F104" s="63"/>
      <c r="G104" s="85"/>
      <c r="H104" s="72"/>
      <c r="I104" s="72"/>
      <c r="J104" s="85"/>
      <c r="K104" s="72"/>
      <c r="L104" s="85"/>
      <c r="M104" s="63"/>
      <c r="N104" s="70"/>
      <c r="O104" s="63"/>
      <c r="P104" s="65"/>
    </row>
    <row r="105" spans="2:16" ht="14.25">
      <c r="B105" s="105"/>
      <c r="C105" s="51" t="s">
        <v>74</v>
      </c>
      <c r="D105" s="33"/>
      <c r="E105" s="32">
        <f>E106</f>
        <v>1</v>
      </c>
      <c r="F105" s="68">
        <f>F106</f>
        <v>0.8083</v>
      </c>
      <c r="G105" s="84"/>
      <c r="H105" s="71">
        <v>0.137</v>
      </c>
      <c r="I105" s="60">
        <f>F105+H105/0.9</f>
        <v>0.9605222222222223</v>
      </c>
      <c r="J105" s="84"/>
      <c r="K105" s="71" t="s">
        <v>54</v>
      </c>
      <c r="L105" s="84" t="s">
        <v>54</v>
      </c>
      <c r="M105" s="59">
        <f>E105*1.05-F105</f>
        <v>0.24170000000000003</v>
      </c>
      <c r="N105" s="61">
        <f>E105*1.05-I105</f>
        <v>0.08947777777777777</v>
      </c>
      <c r="O105" s="59">
        <f>IF((E105*1.05-I105)&gt;0,(E105*105/100)-I105,0)</f>
        <v>0.08947777777777777</v>
      </c>
      <c r="P105" s="99"/>
    </row>
    <row r="106" spans="2:16" ht="12.75">
      <c r="B106" s="105"/>
      <c r="C106" s="33" t="s">
        <v>2</v>
      </c>
      <c r="D106" s="33" t="s">
        <v>63</v>
      </c>
      <c r="E106" s="32">
        <v>1</v>
      </c>
      <c r="F106" s="68">
        <v>0.8083</v>
      </c>
      <c r="G106" s="84">
        <f>F106/E106</f>
        <v>0.8083</v>
      </c>
      <c r="H106" s="71"/>
      <c r="I106" s="71"/>
      <c r="J106" s="84"/>
      <c r="K106" s="71"/>
      <c r="L106" s="84"/>
      <c r="M106" s="68"/>
      <c r="N106" s="69"/>
      <c r="O106" s="68"/>
      <c r="P106" s="101"/>
    </row>
    <row r="107" spans="2:16" ht="12.75">
      <c r="B107" s="105"/>
      <c r="C107" s="52"/>
      <c r="D107" s="46"/>
      <c r="E107" s="24"/>
      <c r="F107" s="63"/>
      <c r="G107" s="85"/>
      <c r="H107" s="72"/>
      <c r="I107" s="72"/>
      <c r="J107" s="85"/>
      <c r="K107" s="72"/>
      <c r="L107" s="85"/>
      <c r="M107" s="63"/>
      <c r="N107" s="70"/>
      <c r="O107" s="63"/>
      <c r="P107" s="65"/>
    </row>
    <row r="108" spans="2:16" ht="14.25">
      <c r="B108" s="105"/>
      <c r="C108" s="51" t="s">
        <v>75</v>
      </c>
      <c r="D108" s="33"/>
      <c r="E108" s="32">
        <f>E109</f>
        <v>1.6</v>
      </c>
      <c r="F108" s="68">
        <f>F109</f>
        <v>0.6113</v>
      </c>
      <c r="G108" s="84"/>
      <c r="H108" s="71">
        <f>0.217+0.03+0.015+0.015+0.015+0.03</f>
        <v>0.32200000000000006</v>
      </c>
      <c r="I108" s="60">
        <f>F108+H108/0.9</f>
        <v>0.9690777777777778</v>
      </c>
      <c r="J108" s="84"/>
      <c r="K108" s="71" t="s">
        <v>54</v>
      </c>
      <c r="L108" s="84" t="s">
        <v>54</v>
      </c>
      <c r="M108" s="59">
        <f>E108*1.05-F108</f>
        <v>1.0687000000000002</v>
      </c>
      <c r="N108" s="61">
        <f>E108*1.05-I108</f>
        <v>0.7109222222222223</v>
      </c>
      <c r="O108" s="59">
        <f>IF((E108*1.05-I108)&gt;0,(E108*105/100)-I108,0)</f>
        <v>0.7109222222222221</v>
      </c>
      <c r="P108" s="96"/>
    </row>
    <row r="109" spans="2:16" ht="12.75">
      <c r="B109" s="105"/>
      <c r="C109" s="33" t="s">
        <v>2</v>
      </c>
      <c r="D109" s="33" t="s">
        <v>63</v>
      </c>
      <c r="E109" s="32">
        <v>1.6</v>
      </c>
      <c r="F109" s="68">
        <v>0.6113</v>
      </c>
      <c r="G109" s="84">
        <f>F109/E109</f>
        <v>0.38206249999999997</v>
      </c>
      <c r="H109" s="71"/>
      <c r="I109" s="71"/>
      <c r="J109" s="84"/>
      <c r="K109" s="71"/>
      <c r="L109" s="84"/>
      <c r="M109" s="68"/>
      <c r="N109" s="69"/>
      <c r="O109" s="68"/>
      <c r="P109" s="97"/>
    </row>
    <row r="110" spans="2:16" ht="12.75">
      <c r="B110" s="47"/>
      <c r="C110" s="45"/>
      <c r="D110" s="46"/>
      <c r="E110" s="24"/>
      <c r="F110" s="63"/>
      <c r="G110" s="85"/>
      <c r="H110" s="72"/>
      <c r="I110" s="72"/>
      <c r="J110" s="85"/>
      <c r="K110" s="72"/>
      <c r="L110" s="85"/>
      <c r="M110" s="63"/>
      <c r="N110" s="70"/>
      <c r="O110" s="63"/>
      <c r="P110" s="65"/>
    </row>
    <row r="111" spans="2:16" ht="12.75" customHeight="1">
      <c r="B111" s="104" t="s">
        <v>40</v>
      </c>
      <c r="C111" s="56" t="s">
        <v>31</v>
      </c>
      <c r="D111" s="44"/>
      <c r="E111" s="31">
        <f>SUM(E112:E113)</f>
        <v>12.6</v>
      </c>
      <c r="F111" s="66">
        <f>SUM(F112:F113)</f>
        <v>6.4468</v>
      </c>
      <c r="G111" s="86"/>
      <c r="H111" s="73">
        <f>0.237+0.05+0.024+0.015+0.01+0.01+0.008+0.005+0.01+0.008+0.008+0.017+0.01+0.042</f>
        <v>0.45400000000000007</v>
      </c>
      <c r="I111" s="66">
        <f>F111+H111/0.85</f>
        <v>6.980917647058823</v>
      </c>
      <c r="J111" s="83"/>
      <c r="K111" s="66">
        <f>I111</f>
        <v>6.980917647058823</v>
      </c>
      <c r="L111" s="83">
        <f>K111/E112</f>
        <v>1.1080821661998133</v>
      </c>
      <c r="M111" s="59">
        <f>E112*1.4-F111</f>
        <v>2.373199999999999</v>
      </c>
      <c r="N111" s="67">
        <f>E112*1.4-I111</f>
        <v>1.8390823529411753</v>
      </c>
      <c r="O111" s="66">
        <f>IF(L111&gt;1.4,0,(E112*140/100)-I111)</f>
        <v>1.839082352941177</v>
      </c>
      <c r="P111" s="96"/>
    </row>
    <row r="112" spans="2:16" ht="12.75">
      <c r="B112" s="105"/>
      <c r="C112" s="44" t="s">
        <v>2</v>
      </c>
      <c r="D112" s="44" t="s">
        <v>50</v>
      </c>
      <c r="E112" s="31">
        <v>6.3</v>
      </c>
      <c r="F112" s="66">
        <v>2.7484</v>
      </c>
      <c r="G112" s="86">
        <f>F112/E112</f>
        <v>0.4362539682539683</v>
      </c>
      <c r="H112" s="73"/>
      <c r="I112" s="73"/>
      <c r="J112" s="86"/>
      <c r="K112" s="73"/>
      <c r="L112" s="86"/>
      <c r="M112" s="66"/>
      <c r="N112" s="67"/>
      <c r="O112" s="66"/>
      <c r="P112" s="98"/>
    </row>
    <row r="113" spans="2:16" ht="12.75">
      <c r="B113" s="105"/>
      <c r="C113" s="44" t="s">
        <v>3</v>
      </c>
      <c r="D113" s="44" t="s">
        <v>50</v>
      </c>
      <c r="E113" s="31">
        <v>6.3</v>
      </c>
      <c r="F113" s="66">
        <v>3.6984</v>
      </c>
      <c r="G113" s="86">
        <f>F113/E113</f>
        <v>0.587047619047619</v>
      </c>
      <c r="H113" s="73"/>
      <c r="I113" s="73"/>
      <c r="J113" s="86"/>
      <c r="K113" s="73"/>
      <c r="L113" s="86"/>
      <c r="M113" s="66"/>
      <c r="N113" s="67"/>
      <c r="O113" s="66"/>
      <c r="P113" s="97"/>
    </row>
    <row r="114" spans="2:16" ht="12.75">
      <c r="B114" s="105"/>
      <c r="C114" s="42"/>
      <c r="D114" s="23"/>
      <c r="E114" s="23"/>
      <c r="F114" s="62"/>
      <c r="G114" s="87"/>
      <c r="H114" s="74"/>
      <c r="I114" s="74"/>
      <c r="J114" s="87"/>
      <c r="K114" s="74"/>
      <c r="L114" s="87"/>
      <c r="M114" s="62"/>
      <c r="N114" s="64"/>
      <c r="O114" s="62"/>
      <c r="P114" s="65"/>
    </row>
    <row r="115" spans="2:16" ht="14.25">
      <c r="B115" s="105"/>
      <c r="C115" s="56" t="s">
        <v>32</v>
      </c>
      <c r="D115" s="44"/>
      <c r="E115" s="31">
        <f>E116</f>
        <v>0.63</v>
      </c>
      <c r="F115" s="66">
        <f>F116</f>
        <v>0.3912</v>
      </c>
      <c r="G115" s="86"/>
      <c r="H115" s="73">
        <f>0.0565+0.007+0.01+0.008</f>
        <v>0.08149999999999999</v>
      </c>
      <c r="I115" s="60">
        <f>F115+H115/0.9</f>
        <v>0.48175555555555555</v>
      </c>
      <c r="J115" s="86"/>
      <c r="K115" s="73" t="s">
        <v>54</v>
      </c>
      <c r="L115" s="86" t="s">
        <v>54</v>
      </c>
      <c r="M115" s="59">
        <f>E115*1.05-F115</f>
        <v>0.2703000000000001</v>
      </c>
      <c r="N115" s="61">
        <f>E115*1.05-I115</f>
        <v>0.17974444444444454</v>
      </c>
      <c r="O115" s="59">
        <f>IF((E115*1.05-I115)&gt;0,(E115*105/100)-I115,0)</f>
        <v>0.17974444444444454</v>
      </c>
      <c r="P115" s="96"/>
    </row>
    <row r="116" spans="2:16" ht="12.75">
      <c r="B116" s="105"/>
      <c r="C116" s="44" t="s">
        <v>2</v>
      </c>
      <c r="D116" s="44" t="s">
        <v>63</v>
      </c>
      <c r="E116" s="31">
        <v>0.63</v>
      </c>
      <c r="F116" s="66">
        <v>0.3912</v>
      </c>
      <c r="G116" s="86">
        <f>F116/E116</f>
        <v>0.6209523809523809</v>
      </c>
      <c r="H116" s="73"/>
      <c r="I116" s="73"/>
      <c r="J116" s="86"/>
      <c r="K116" s="73"/>
      <c r="L116" s="86"/>
      <c r="M116" s="66"/>
      <c r="N116" s="67"/>
      <c r="O116" s="66"/>
      <c r="P116" s="97"/>
    </row>
    <row r="117" spans="2:16" ht="12.75">
      <c r="B117" s="105"/>
      <c r="C117" s="42"/>
      <c r="D117" s="23"/>
      <c r="E117" s="23"/>
      <c r="F117" s="62"/>
      <c r="G117" s="87"/>
      <c r="H117" s="74"/>
      <c r="I117" s="74"/>
      <c r="J117" s="87"/>
      <c r="K117" s="74"/>
      <c r="L117" s="87"/>
      <c r="M117" s="62"/>
      <c r="N117" s="64"/>
      <c r="O117" s="62"/>
      <c r="P117" s="65"/>
    </row>
    <row r="118" spans="2:16" ht="14.25">
      <c r="B118" s="105"/>
      <c r="C118" s="56" t="s">
        <v>33</v>
      </c>
      <c r="D118" s="44"/>
      <c r="E118" s="31">
        <f>E119</f>
        <v>1.25</v>
      </c>
      <c r="F118" s="66">
        <f>F119</f>
        <v>0.6113</v>
      </c>
      <c r="G118" s="86"/>
      <c r="H118" s="73">
        <f>0.0225+0.006+0.016+0.01+0.01</f>
        <v>0.0645</v>
      </c>
      <c r="I118" s="60">
        <f>F118+H118/0.9</f>
        <v>0.6829666666666666</v>
      </c>
      <c r="J118" s="86"/>
      <c r="K118" s="73" t="s">
        <v>54</v>
      </c>
      <c r="L118" s="86" t="s">
        <v>54</v>
      </c>
      <c r="M118" s="59">
        <f>E118*1.05-F118</f>
        <v>0.7012</v>
      </c>
      <c r="N118" s="61">
        <f>E118*1.05-I118</f>
        <v>0.6295333333333334</v>
      </c>
      <c r="O118" s="59">
        <f>IF((E118*1.05-I118)&gt;0,(E118*105/100)-I118,0)</f>
        <v>0.6295333333333334</v>
      </c>
      <c r="P118" s="96"/>
    </row>
    <row r="119" spans="2:16" ht="12.75">
      <c r="B119" s="105"/>
      <c r="C119" s="44" t="s">
        <v>2</v>
      </c>
      <c r="D119" s="44" t="s">
        <v>63</v>
      </c>
      <c r="E119" s="31">
        <v>1.25</v>
      </c>
      <c r="F119" s="66">
        <v>0.6113</v>
      </c>
      <c r="G119" s="86">
        <f>F119/E119</f>
        <v>0.48904</v>
      </c>
      <c r="H119" s="73"/>
      <c r="I119" s="73"/>
      <c r="J119" s="86"/>
      <c r="K119" s="73"/>
      <c r="L119" s="86"/>
      <c r="M119" s="66"/>
      <c r="N119" s="67"/>
      <c r="O119" s="66"/>
      <c r="P119" s="97"/>
    </row>
    <row r="120" spans="2:16" ht="12.75">
      <c r="B120" s="105"/>
      <c r="C120" s="42"/>
      <c r="D120" s="23"/>
      <c r="E120" s="23"/>
      <c r="F120" s="62"/>
      <c r="G120" s="87"/>
      <c r="H120" s="74"/>
      <c r="I120" s="74"/>
      <c r="J120" s="87"/>
      <c r="K120" s="74"/>
      <c r="L120" s="87"/>
      <c r="M120" s="62"/>
      <c r="N120" s="64"/>
      <c r="O120" s="62"/>
      <c r="P120" s="65"/>
    </row>
    <row r="121" spans="2:16" ht="14.25">
      <c r="B121" s="105"/>
      <c r="C121" s="57" t="s">
        <v>34</v>
      </c>
      <c r="D121" s="18"/>
      <c r="E121" s="31">
        <f>E122</f>
        <v>1.6</v>
      </c>
      <c r="F121" s="66">
        <f>F122</f>
        <v>1.0188</v>
      </c>
      <c r="G121" s="79"/>
      <c r="H121" s="60">
        <f>0.19+0.13+0.012+0.015+0.0025+0.0165+0.006+0.008+0.019+0.01</f>
        <v>0.4090000000000001</v>
      </c>
      <c r="I121" s="60">
        <f>F121+H121/0.9</f>
        <v>1.4732444444444446</v>
      </c>
      <c r="J121" s="79"/>
      <c r="K121" s="60" t="s">
        <v>54</v>
      </c>
      <c r="L121" s="79" t="s">
        <v>54</v>
      </c>
      <c r="M121" s="59">
        <f>E121*1.05-F121</f>
        <v>0.6612000000000002</v>
      </c>
      <c r="N121" s="61">
        <f>E121*1.05-I121</f>
        <v>0.20675555555555558</v>
      </c>
      <c r="O121" s="59">
        <f>IF((E121*1.05-I121)&gt;0,(E121*105/100)-I121,0)</f>
        <v>0.20675555555555536</v>
      </c>
      <c r="P121" s="96"/>
    </row>
    <row r="122" spans="2:16" ht="12.75">
      <c r="B122" s="105"/>
      <c r="C122" s="18" t="s">
        <v>2</v>
      </c>
      <c r="D122" s="18" t="s">
        <v>50</v>
      </c>
      <c r="E122" s="31">
        <v>1.6</v>
      </c>
      <c r="F122" s="66">
        <v>1.0188</v>
      </c>
      <c r="G122" s="79">
        <f>F122/E122</f>
        <v>0.6367499999999999</v>
      </c>
      <c r="H122" s="60"/>
      <c r="I122" s="60"/>
      <c r="J122" s="79"/>
      <c r="K122" s="60"/>
      <c r="L122" s="79"/>
      <c r="M122" s="66"/>
      <c r="N122" s="67"/>
      <c r="O122" s="66"/>
      <c r="P122" s="97"/>
    </row>
    <row r="123" spans="2:16" ht="12.75">
      <c r="B123" s="105"/>
      <c r="C123" s="42"/>
      <c r="D123" s="23"/>
      <c r="E123" s="23"/>
      <c r="F123" s="62"/>
      <c r="G123" s="80"/>
      <c r="H123" s="63"/>
      <c r="I123" s="63"/>
      <c r="J123" s="80"/>
      <c r="K123" s="63"/>
      <c r="L123" s="80"/>
      <c r="M123" s="62"/>
      <c r="N123" s="64"/>
      <c r="O123" s="62"/>
      <c r="P123" s="65"/>
    </row>
    <row r="124" spans="2:16" ht="14.25">
      <c r="B124" s="105"/>
      <c r="C124" s="56" t="s">
        <v>35</v>
      </c>
      <c r="D124" s="44"/>
      <c r="E124" s="31">
        <f>E125</f>
        <v>1</v>
      </c>
      <c r="F124" s="66">
        <f>F125</f>
        <v>0.716</v>
      </c>
      <c r="G124" s="88"/>
      <c r="H124" s="75">
        <f>0.054+0.015+0.018+0.01</f>
        <v>0.097</v>
      </c>
      <c r="I124" s="60">
        <f>F124+H124/0.9</f>
        <v>0.8237777777777777</v>
      </c>
      <c r="J124" s="88"/>
      <c r="K124" s="75" t="s">
        <v>54</v>
      </c>
      <c r="L124" s="88" t="s">
        <v>54</v>
      </c>
      <c r="M124" s="59">
        <f>E124*1.05-F124</f>
        <v>0.3340000000000001</v>
      </c>
      <c r="N124" s="61">
        <f>E124*1.05-I124</f>
        <v>0.22622222222222232</v>
      </c>
      <c r="O124" s="59">
        <f>IF((E124*1.05-I124)&gt;0,(E124*105/100)-I124,0)</f>
        <v>0.22622222222222232</v>
      </c>
      <c r="P124" s="96"/>
    </row>
    <row r="125" spans="2:16" ht="12.75">
      <c r="B125" s="106"/>
      <c r="C125" s="44" t="s">
        <v>2</v>
      </c>
      <c r="D125" s="44" t="s">
        <v>63</v>
      </c>
      <c r="E125" s="31">
        <v>1</v>
      </c>
      <c r="F125" s="66">
        <v>0.716</v>
      </c>
      <c r="G125" s="88">
        <f>F125/E125</f>
        <v>0.716</v>
      </c>
      <c r="H125" s="75"/>
      <c r="I125" s="75"/>
      <c r="J125" s="88"/>
      <c r="K125" s="75"/>
      <c r="L125" s="88"/>
      <c r="M125" s="66"/>
      <c r="N125" s="67"/>
      <c r="O125" s="66"/>
      <c r="P125" s="97"/>
    </row>
    <row r="126" spans="2:16" ht="12.75">
      <c r="B126" s="47"/>
      <c r="C126" s="42"/>
      <c r="D126" s="23"/>
      <c r="E126" s="23"/>
      <c r="F126" s="62"/>
      <c r="G126" s="80"/>
      <c r="H126" s="63"/>
      <c r="I126" s="63"/>
      <c r="J126" s="80"/>
      <c r="K126" s="63"/>
      <c r="L126" s="80"/>
      <c r="M126" s="62"/>
      <c r="N126" s="64"/>
      <c r="O126" s="62"/>
      <c r="P126" s="65"/>
    </row>
    <row r="127" spans="2:16" ht="12.75" customHeight="1">
      <c r="B127" s="104" t="s">
        <v>41</v>
      </c>
      <c r="C127" s="50" t="s">
        <v>64</v>
      </c>
      <c r="D127" s="31"/>
      <c r="E127" s="31">
        <f>SUM(E128:E129)</f>
        <v>20</v>
      </c>
      <c r="F127" s="66">
        <f>SUM(F128:F129)</f>
        <v>5.456</v>
      </c>
      <c r="G127" s="83"/>
      <c r="H127" s="66">
        <v>0.435</v>
      </c>
      <c r="I127" s="66">
        <f>F127+H127/0.85</f>
        <v>5.967764705882353</v>
      </c>
      <c r="J127" s="83"/>
      <c r="K127" s="66">
        <f>I127</f>
        <v>5.967764705882353</v>
      </c>
      <c r="L127" s="83">
        <f>K127/E128</f>
        <v>0.5967764705882354</v>
      </c>
      <c r="M127" s="59">
        <f>E128*1.4-F127</f>
        <v>8.544</v>
      </c>
      <c r="N127" s="67">
        <f>E128*1.4-I127</f>
        <v>8.032235294117648</v>
      </c>
      <c r="O127" s="66">
        <f>IF(L127&gt;1.4,0,(E128*140/100)-I127)</f>
        <v>8.032235294117648</v>
      </c>
      <c r="P127" s="96"/>
    </row>
    <row r="128" spans="2:16" ht="12.75">
      <c r="B128" s="105"/>
      <c r="C128" s="31" t="s">
        <v>2</v>
      </c>
      <c r="D128" s="31" t="s">
        <v>44</v>
      </c>
      <c r="E128" s="31">
        <v>10</v>
      </c>
      <c r="F128" s="66">
        <v>2.603</v>
      </c>
      <c r="G128" s="83">
        <f>F128/E128</f>
        <v>0.26030000000000003</v>
      </c>
      <c r="H128" s="66"/>
      <c r="I128" s="66"/>
      <c r="J128" s="83"/>
      <c r="K128" s="66"/>
      <c r="L128" s="83"/>
      <c r="M128" s="66"/>
      <c r="N128" s="67"/>
      <c r="O128" s="66"/>
      <c r="P128" s="98"/>
    </row>
    <row r="129" spans="2:16" ht="12.75">
      <c r="B129" s="105"/>
      <c r="C129" s="31" t="s">
        <v>3</v>
      </c>
      <c r="D129" s="31" t="s">
        <v>44</v>
      </c>
      <c r="E129" s="31">
        <v>10</v>
      </c>
      <c r="F129" s="66">
        <v>2.853</v>
      </c>
      <c r="G129" s="83">
        <f>F129/E129</f>
        <v>0.2853</v>
      </c>
      <c r="H129" s="66"/>
      <c r="I129" s="66"/>
      <c r="J129" s="83"/>
      <c r="K129" s="66"/>
      <c r="L129" s="83"/>
      <c r="M129" s="66"/>
      <c r="N129" s="67"/>
      <c r="O129" s="66"/>
      <c r="P129" s="97"/>
    </row>
    <row r="130" spans="2:16" ht="12.75">
      <c r="B130" s="105"/>
      <c r="C130" s="42"/>
      <c r="D130" s="23"/>
      <c r="E130" s="23"/>
      <c r="F130" s="62"/>
      <c r="G130" s="82"/>
      <c r="H130" s="62"/>
      <c r="I130" s="62"/>
      <c r="J130" s="82"/>
      <c r="K130" s="62"/>
      <c r="L130" s="82"/>
      <c r="M130" s="62"/>
      <c r="N130" s="64"/>
      <c r="O130" s="62"/>
      <c r="P130" s="65"/>
    </row>
    <row r="131" spans="2:16" ht="14.25">
      <c r="B131" s="105"/>
      <c r="C131" s="58" t="s">
        <v>36</v>
      </c>
      <c r="D131" s="34"/>
      <c r="E131" s="31">
        <f>SUM(E132:E133)</f>
        <v>6.3</v>
      </c>
      <c r="F131" s="66">
        <f>SUM(F132:F133)</f>
        <v>3.8513</v>
      </c>
      <c r="G131" s="86"/>
      <c r="H131" s="73">
        <v>0.65</v>
      </c>
      <c r="I131" s="66">
        <f>F131+H131/0.85</f>
        <v>4.616005882352941</v>
      </c>
      <c r="J131" s="86"/>
      <c r="K131" s="73">
        <f>I131</f>
        <v>4.616005882352941</v>
      </c>
      <c r="L131" s="95">
        <f>K131/E132</f>
        <v>1.4653986928104576</v>
      </c>
      <c r="M131" s="92">
        <f>E132*1.4-F131</f>
        <v>0.5586999999999991</v>
      </c>
      <c r="N131" s="91">
        <f>E132*1.4-I131</f>
        <v>-0.20600588235294204</v>
      </c>
      <c r="O131" s="92">
        <f>IF(L131&gt;1.4,0,(E132*140/100)-I131)</f>
        <v>0</v>
      </c>
      <c r="P131" s="99" t="s">
        <v>70</v>
      </c>
    </row>
    <row r="132" spans="2:16" ht="12.75">
      <c r="B132" s="105"/>
      <c r="C132" s="34" t="s">
        <v>2</v>
      </c>
      <c r="D132" s="34" t="s">
        <v>45</v>
      </c>
      <c r="E132" s="31">
        <v>3.15</v>
      </c>
      <c r="F132" s="66">
        <v>1.834</v>
      </c>
      <c r="G132" s="86">
        <f>F132/E132</f>
        <v>0.5822222222222223</v>
      </c>
      <c r="H132" s="73"/>
      <c r="I132" s="73"/>
      <c r="J132" s="86"/>
      <c r="K132" s="73"/>
      <c r="L132" s="86"/>
      <c r="M132" s="66"/>
      <c r="N132" s="67"/>
      <c r="O132" s="66"/>
      <c r="P132" s="100"/>
    </row>
    <row r="133" spans="2:16" ht="12.75">
      <c r="B133" s="105"/>
      <c r="C133" s="34" t="s">
        <v>3</v>
      </c>
      <c r="D133" s="34" t="s">
        <v>45</v>
      </c>
      <c r="E133" s="31">
        <v>3.15</v>
      </c>
      <c r="F133" s="66">
        <v>2.0173</v>
      </c>
      <c r="G133" s="86">
        <f>F133/E133</f>
        <v>0.6404126984126984</v>
      </c>
      <c r="H133" s="73"/>
      <c r="I133" s="73"/>
      <c r="J133" s="86"/>
      <c r="K133" s="73"/>
      <c r="L133" s="86"/>
      <c r="M133" s="66"/>
      <c r="N133" s="67"/>
      <c r="O133" s="66"/>
      <c r="P133" s="101"/>
    </row>
    <row r="134" spans="2:16" ht="12.75">
      <c r="B134" s="105"/>
      <c r="C134" s="53"/>
      <c r="D134" s="24"/>
      <c r="E134" s="23"/>
      <c r="F134" s="62"/>
      <c r="G134" s="87"/>
      <c r="H134" s="74"/>
      <c r="I134" s="74"/>
      <c r="J134" s="87"/>
      <c r="K134" s="74"/>
      <c r="L134" s="87"/>
      <c r="M134" s="62"/>
      <c r="N134" s="64"/>
      <c r="O134" s="62"/>
      <c r="P134" s="65"/>
    </row>
    <row r="135" spans="2:16" ht="14.25">
      <c r="B135" s="105"/>
      <c r="C135" s="58" t="s">
        <v>37</v>
      </c>
      <c r="D135" s="34"/>
      <c r="E135" s="31">
        <f>E136</f>
        <v>3.2</v>
      </c>
      <c r="F135" s="66">
        <f>F136</f>
        <v>1.783</v>
      </c>
      <c r="G135" s="88"/>
      <c r="H135" s="75">
        <f>0.357+0.1</f>
        <v>0.45699999999999996</v>
      </c>
      <c r="I135" s="60">
        <f>F135+H135/0.85</f>
        <v>2.3206470588235293</v>
      </c>
      <c r="J135" s="88"/>
      <c r="K135" s="75" t="s">
        <v>54</v>
      </c>
      <c r="L135" s="88" t="s">
        <v>54</v>
      </c>
      <c r="M135" s="59">
        <f>E135*1.05-F135</f>
        <v>1.5770000000000004</v>
      </c>
      <c r="N135" s="61">
        <f>E135*1.05-I135</f>
        <v>1.039352941176471</v>
      </c>
      <c r="O135" s="59">
        <f>IF((E135*1.05-I135)&gt;0,(E135*105/100)-I135,0)</f>
        <v>1.0393529411764706</v>
      </c>
      <c r="P135" s="96"/>
    </row>
    <row r="136" spans="2:16" ht="12.75">
      <c r="B136" s="106"/>
      <c r="C136" s="34" t="s">
        <v>2</v>
      </c>
      <c r="D136" s="34" t="s">
        <v>45</v>
      </c>
      <c r="E136" s="31">
        <v>3.2</v>
      </c>
      <c r="F136" s="66">
        <v>1.783</v>
      </c>
      <c r="G136" s="88">
        <f>F136/E136</f>
        <v>0.5571875</v>
      </c>
      <c r="H136" s="75"/>
      <c r="I136" s="75"/>
      <c r="J136" s="88"/>
      <c r="K136" s="75"/>
      <c r="L136" s="88"/>
      <c r="M136" s="66"/>
      <c r="N136" s="67"/>
      <c r="O136" s="66"/>
      <c r="P136" s="97"/>
    </row>
    <row r="137" spans="2:16" ht="13.5" thickBot="1">
      <c r="B137" s="54"/>
      <c r="C137" s="55"/>
      <c r="D137" s="55"/>
      <c r="E137" s="55"/>
      <c r="F137" s="76"/>
      <c r="G137" s="89"/>
      <c r="H137" s="76"/>
      <c r="I137" s="76"/>
      <c r="J137" s="76"/>
      <c r="K137" s="76"/>
      <c r="L137" s="89"/>
      <c r="M137" s="76"/>
      <c r="N137" s="77"/>
      <c r="O137" s="76"/>
      <c r="P137" s="78"/>
    </row>
  </sheetData>
  <sheetProtection/>
  <mergeCells count="55">
    <mergeCell ref="F5:G5"/>
    <mergeCell ref="K5:L5"/>
    <mergeCell ref="B3:P3"/>
    <mergeCell ref="I5:J5"/>
    <mergeCell ref="F28:F29"/>
    <mergeCell ref="G28:G29"/>
    <mergeCell ref="H28:H29"/>
    <mergeCell ref="I28:I29"/>
    <mergeCell ref="J28:J29"/>
    <mergeCell ref="K28:K29"/>
    <mergeCell ref="B111:B125"/>
    <mergeCell ref="B127:B136"/>
    <mergeCell ref="O28:O29"/>
    <mergeCell ref="P27:P30"/>
    <mergeCell ref="P43:P45"/>
    <mergeCell ref="P47:P49"/>
    <mergeCell ref="P51:P53"/>
    <mergeCell ref="P55:P57"/>
    <mergeCell ref="B8:B49"/>
    <mergeCell ref="L28:L29"/>
    <mergeCell ref="M28:M29"/>
    <mergeCell ref="N28:N29"/>
    <mergeCell ref="P20:P21"/>
    <mergeCell ref="B51:B109"/>
    <mergeCell ref="P17:P18"/>
    <mergeCell ref="P59:P60"/>
    <mergeCell ref="P76:P78"/>
    <mergeCell ref="P80:P81"/>
    <mergeCell ref="P83:P84"/>
    <mergeCell ref="P62:P63"/>
    <mergeCell ref="P14:P15"/>
    <mergeCell ref="P11:P12"/>
    <mergeCell ref="P32:P34"/>
    <mergeCell ref="P36:P38"/>
    <mergeCell ref="P40:P41"/>
    <mergeCell ref="P23:P25"/>
    <mergeCell ref="P105:P106"/>
    <mergeCell ref="P108:P109"/>
    <mergeCell ref="P135:P136"/>
    <mergeCell ref="P65:P67"/>
    <mergeCell ref="P69:P70"/>
    <mergeCell ref="P72:P74"/>
    <mergeCell ref="P86:P88"/>
    <mergeCell ref="P90:P92"/>
    <mergeCell ref="P94:P96"/>
    <mergeCell ref="P8:P9"/>
    <mergeCell ref="P121:P122"/>
    <mergeCell ref="P124:P125"/>
    <mergeCell ref="P127:P129"/>
    <mergeCell ref="P131:P133"/>
    <mergeCell ref="P111:P113"/>
    <mergeCell ref="P115:P116"/>
    <mergeCell ref="P98:P100"/>
    <mergeCell ref="P118:P119"/>
    <mergeCell ref="P102:P103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2013-04-16T04:53:46Z</dcterms:modified>
  <cp:category/>
  <cp:version/>
  <cp:contentType/>
  <cp:contentStatus/>
</cp:coreProperties>
</file>