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.1.1" sheetId="1" r:id="rId1"/>
    <sheet name="П.1.3" sheetId="4" r:id="rId2"/>
    <sheet name="П.2.2" sheetId="5" r:id="rId3"/>
    <sheet name="Для совещания" sheetId="6" state="hidden" r:id="rId4"/>
  </sheets>
  <definedNames>
    <definedName name="_xlnm._FilterDatabase" localSheetId="0" hidden="1">П.1.1!$A$18:$W$73</definedName>
    <definedName name="_xlnm._FilterDatabase" localSheetId="1" hidden="1">П.1.3!$V$15:$AA$79</definedName>
    <definedName name="_xlnm._FilterDatabase" localSheetId="2" hidden="1">П.2.2!$A$16:$HC$42</definedName>
    <definedName name="_xlnm.Print_Area" localSheetId="0">П.1.1!$A$1:$U$78</definedName>
    <definedName name="_xlnm.Print_Area" localSheetId="1">П.1.3!$A$1:$AI$80</definedName>
    <definedName name="_xlnm.Print_Area" localSheetId="2">П.2.2!$A$1:$AA$51</definedName>
  </definedNames>
  <calcPr calcId="125725"/>
</workbook>
</file>

<file path=xl/calcChain.xml><?xml version="1.0" encoding="utf-8"?>
<calcChain xmlns="http://schemas.openxmlformats.org/spreadsheetml/2006/main">
  <c r="AI45" i="4"/>
  <c r="AD45"/>
  <c r="AI63"/>
  <c r="AI62"/>
  <c r="AI61"/>
  <c r="AI60"/>
  <c r="Y60"/>
  <c r="O45"/>
  <c r="U40" i="1" l="1"/>
  <c r="U58" l="1"/>
  <c r="D61" l="1"/>
  <c r="D59" l="1"/>
  <c r="U60" l="1"/>
  <c r="G60" s="1"/>
  <c r="H60" s="1"/>
  <c r="D60"/>
  <c r="U59"/>
  <c r="G59" s="1"/>
  <c r="H59" s="1"/>
  <c r="D58" l="1"/>
  <c r="O58"/>
  <c r="G58"/>
  <c r="H58" s="1"/>
  <c r="Q28" i="5"/>
  <c r="AE41" i="4"/>
  <c r="AF41"/>
  <c r="AF19" s="1"/>
  <c r="AG41"/>
  <c r="AH41"/>
  <c r="AI41"/>
  <c r="AD41"/>
  <c r="AE45"/>
  <c r="AE44" s="1"/>
  <c r="AF45"/>
  <c r="AF44" s="1"/>
  <c r="AG45"/>
  <c r="AG44" s="1"/>
  <c r="AH45"/>
  <c r="AH44" s="1"/>
  <c r="AI44"/>
  <c r="AD44"/>
  <c r="AD18" s="1"/>
  <c r="AG19"/>
  <c r="AE19"/>
  <c r="AH19"/>
  <c r="AI19"/>
  <c r="AD19"/>
  <c r="AH20"/>
  <c r="AI20"/>
  <c r="AG20"/>
  <c r="AF20"/>
  <c r="AE20"/>
  <c r="AD20"/>
  <c r="G47" i="1"/>
  <c r="H47" s="1"/>
  <c r="D42"/>
  <c r="D17"/>
  <c r="AG18" i="4" l="1"/>
  <c r="AI18"/>
  <c r="AI42"/>
  <c r="AI27"/>
  <c r="AI21"/>
  <c r="AH59"/>
  <c r="AG59"/>
  <c r="AH58"/>
  <c r="AG58"/>
  <c r="AF57"/>
  <c r="AE57"/>
  <c r="AD57"/>
  <c r="AF56"/>
  <c r="AG56" s="1"/>
  <c r="AH56" s="1"/>
  <c r="AE56"/>
  <c r="AD56"/>
  <c r="AE55"/>
  <c r="AF55" s="1"/>
  <c r="AG55" s="1"/>
  <c r="AH55" s="1"/>
  <c r="AD55"/>
  <c r="AD54"/>
  <c r="AE54" s="1"/>
  <c r="AF54" s="1"/>
  <c r="AG54" s="1"/>
  <c r="AH54" s="1"/>
  <c r="AF53"/>
  <c r="AG53" s="1"/>
  <c r="AH53" s="1"/>
  <c r="AE53"/>
  <c r="AD53"/>
  <c r="AE52"/>
  <c r="AF52" s="1"/>
  <c r="AG52" s="1"/>
  <c r="AH52" s="1"/>
  <c r="AD52"/>
  <c r="AD51"/>
  <c r="AE51" s="1"/>
  <c r="AH50"/>
  <c r="AG50"/>
  <c r="AF50"/>
  <c r="AE50"/>
  <c r="AD50"/>
  <c r="AH49"/>
  <c r="AE48"/>
  <c r="AD48"/>
  <c r="AD47"/>
  <c r="AF46"/>
  <c r="AE46"/>
  <c r="AG27"/>
  <c r="AF27"/>
  <c r="AE27"/>
  <c r="AD27"/>
  <c r="AG26"/>
  <c r="AF26"/>
  <c r="AE26"/>
  <c r="AF25"/>
  <c r="AE25"/>
  <c r="AD25"/>
  <c r="AD24"/>
  <c r="AE24" s="1"/>
  <c r="AF24" s="1"/>
  <c r="AG24" s="1"/>
  <c r="AH24" s="1"/>
  <c r="AD23"/>
  <c r="AE23" s="1"/>
  <c r="AF23" s="1"/>
  <c r="AG23" s="1"/>
  <c r="AH23" s="1"/>
  <c r="AE22"/>
  <c r="AF22" s="1"/>
  <c r="AG22" s="1"/>
  <c r="AH22" s="1"/>
  <c r="AD22"/>
  <c r="AD21"/>
  <c r="AE21" s="1"/>
  <c r="AF21" s="1"/>
  <c r="AG21" s="1"/>
  <c r="AH21" s="1"/>
  <c r="J16"/>
  <c r="K16" s="1"/>
  <c r="L16" s="1"/>
  <c r="M16" s="1"/>
  <c r="E16"/>
  <c r="F16" s="1"/>
  <c r="G16" s="1"/>
  <c r="D16"/>
  <c r="D53" i="1"/>
  <c r="D55"/>
  <c r="D56"/>
  <c r="D57"/>
  <c r="D49"/>
  <c r="D50"/>
  <c r="D51"/>
  <c r="D52"/>
  <c r="D54"/>
  <c r="D48"/>
  <c r="D46"/>
  <c r="D45"/>
  <c r="D19"/>
  <c r="D20"/>
  <c r="D21"/>
  <c r="D22"/>
  <c r="D23"/>
  <c r="D24"/>
  <c r="D25"/>
  <c r="U55"/>
  <c r="G55" s="1"/>
  <c r="H55" s="1"/>
  <c r="U47"/>
  <c r="Q39"/>
  <c r="R39"/>
  <c r="S39"/>
  <c r="T39"/>
  <c r="G40"/>
  <c r="H40" s="1"/>
  <c r="H39" s="1"/>
  <c r="P39"/>
  <c r="U25"/>
  <c r="T18" l="1"/>
  <c r="T17" s="1"/>
  <c r="Q43"/>
  <c r="Q42" s="1"/>
  <c r="P18"/>
  <c r="P17" s="1"/>
  <c r="S18"/>
  <c r="S17" s="1"/>
  <c r="Q18"/>
  <c r="Q17" s="1"/>
  <c r="P43"/>
  <c r="R18"/>
  <c r="R17" s="1"/>
  <c r="AF51" i="4"/>
  <c r="AG51" s="1"/>
  <c r="AH51" s="1"/>
  <c r="AE18"/>
  <c r="AG46"/>
  <c r="U23" i="1"/>
  <c r="G23" s="1"/>
  <c r="H23" s="1"/>
  <c r="U24"/>
  <c r="G24" s="1"/>
  <c r="H24" s="1"/>
  <c r="G25"/>
  <c r="H25" s="1"/>
  <c r="U39"/>
  <c r="G39"/>
  <c r="U20"/>
  <c r="G20" s="1"/>
  <c r="H20" s="1"/>
  <c r="U19"/>
  <c r="U22"/>
  <c r="G22" s="1"/>
  <c r="H22" s="1"/>
  <c r="U21"/>
  <c r="G21" s="1"/>
  <c r="H21" s="1"/>
  <c r="Q16" l="1"/>
  <c r="G19"/>
  <c r="U18"/>
  <c r="U17" s="1"/>
  <c r="P42"/>
  <c r="P16" s="1"/>
  <c r="R43"/>
  <c r="R42" s="1"/>
  <c r="R16" s="1"/>
  <c r="AH46" i="4"/>
  <c r="AH18" s="1"/>
  <c r="AF18"/>
  <c r="O20"/>
  <c r="O41"/>
  <c r="T43" i="1" l="1"/>
  <c r="T42" s="1"/>
  <c r="T16" s="1"/>
  <c r="S43"/>
  <c r="S42" s="1"/>
  <c r="S16" s="1"/>
  <c r="U44"/>
  <c r="G44" s="1"/>
  <c r="H19"/>
  <c r="H18" s="1"/>
  <c r="H17" s="1"/>
  <c r="G18"/>
  <c r="G17" s="1"/>
  <c r="O19" i="4"/>
  <c r="AI49"/>
  <c r="AI50"/>
  <c r="AI22"/>
  <c r="AI23"/>
  <c r="AI24"/>
  <c r="AI25"/>
  <c r="AI26"/>
  <c r="AI48"/>
  <c r="AI51"/>
  <c r="AI52"/>
  <c r="AI53"/>
  <c r="AI54"/>
  <c r="AI55"/>
  <c r="AI56"/>
  <c r="AI57"/>
  <c r="AI58"/>
  <c r="AI59"/>
  <c r="AI46"/>
  <c r="H44" i="1" l="1"/>
  <c r="U43"/>
  <c r="U42" s="1"/>
  <c r="U16" s="1"/>
  <c r="U46"/>
  <c r="G46" s="1"/>
  <c r="H46" s="1"/>
  <c r="U49"/>
  <c r="G49" s="1"/>
  <c r="H49" s="1"/>
  <c r="U56"/>
  <c r="G56" s="1"/>
  <c r="H56" s="1"/>
  <c r="U57"/>
  <c r="G57" s="1"/>
  <c r="H57" s="1"/>
  <c r="D22" i="6" l="1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O44" i="4" l="1"/>
  <c r="O18" s="1"/>
  <c r="B17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7" l="1"/>
  <c r="U54" i="1" l="1"/>
  <c r="G54" s="1"/>
  <c r="H54" s="1"/>
  <c r="U53" l="1"/>
  <c r="G53" s="1"/>
  <c r="H53" s="1"/>
  <c r="U52" l="1"/>
  <c r="G52" s="1"/>
  <c r="H52" s="1"/>
  <c r="U51"/>
  <c r="G51" s="1"/>
  <c r="H51" s="1"/>
  <c r="U50"/>
  <c r="G50" s="1"/>
  <c r="H50" s="1"/>
  <c r="U48"/>
  <c r="G48" s="1"/>
  <c r="H48" s="1"/>
  <c r="U45" l="1"/>
  <c r="G45" s="1"/>
  <c r="G43" s="1"/>
  <c r="H45" l="1"/>
  <c r="H43" s="1"/>
  <c r="H42" s="1"/>
  <c r="H16" s="1"/>
  <c r="G42" l="1"/>
  <c r="G16" s="1"/>
  <c r="U61"/>
  <c r="G61" s="1"/>
  <c r="H61" s="1"/>
</calcChain>
</file>

<file path=xl/sharedStrings.xml><?xml version="1.0" encoding="utf-8"?>
<sst xmlns="http://schemas.openxmlformats.org/spreadsheetml/2006/main" count="763" uniqueCount="293">
  <si>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</si>
  <si>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</si>
  <si>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</si>
  <si>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</si>
  <si>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</si>
  <si>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</si>
  <si>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</si>
  <si>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</si>
  <si>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</si>
  <si>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</si>
  <si>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</si>
  <si>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</si>
  <si>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</si>
  <si>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</si>
  <si>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</si>
  <si>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Перечень инвестиционных проектов на период реализации инвестиционной программы и план их финансирования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</si>
  <si>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</si>
  <si>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</si>
  <si>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</si>
  <si>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</si>
  <si>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</si>
  <si>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</si>
  <si>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</si>
  <si>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</si>
  <si>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 xml:space="preserve">Реконструкция электрических сетей 10-0,4кВ с заменой оборудования и прокладкой новых линий электропередачи для обеспечения качества электроэнергии и надежности электроснабжения объектов водозабора в жилом районе Центральный города Братска </t>
  </si>
  <si>
    <t>1.1.5</t>
  </si>
  <si>
    <t>3 км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</si>
  <si>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</si>
  <si>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</si>
  <si>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</si>
  <si>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</si>
  <si>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</si>
  <si>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</si>
  <si>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</si>
  <si>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</si>
  <si>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</si>
  <si>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</si>
  <si>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</si>
  <si>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</si>
  <si>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</si>
  <si>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</si>
  <si>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</si>
  <si>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</si>
  <si>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</si>
  <si>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</si>
  <si>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</si>
  <si>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</si>
  <si>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</si>
  <si>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</si>
  <si>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</si>
  <si>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</si>
  <si>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</si>
  <si>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</si>
  <si>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</si>
  <si>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</si>
  <si>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</si>
  <si>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</si>
  <si>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</si>
  <si>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</si>
  <si>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</si>
  <si>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</si>
  <si>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</si>
  <si>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</si>
  <si>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2.1.14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</si>
  <si>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</si>
  <si>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</si>
  <si>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</si>
  <si>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</si>
  <si>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</si>
  <si>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</si>
  <si>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</si>
  <si>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</si>
  <si>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</si>
  <si>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</si>
  <si>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</si>
  <si>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</si>
  <si>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</si>
  <si>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</si>
  <si>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2 км</t>
  </si>
  <si>
    <t>ИП-2019</t>
  </si>
  <si>
    <t>1,6 км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</si>
  <si>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</si>
  <si>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</si>
  <si>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</si>
  <si>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</si>
  <si>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</si>
  <si>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</si>
  <si>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</si>
  <si>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</si>
  <si>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</si>
  <si>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</si>
  <si>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</si>
  <si>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</si>
  <si>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</si>
  <si>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>Приложение № 2.2
к Приказу Минэнерго России
от 24.03.2010 № 114</t>
  </si>
  <si>
    <t>Наименование направления/
проекта инвестиционной программы</t>
  </si>
  <si>
    <t>Субъект Российской Федерации,
на территории которого реализуется инвестицион-
ный проект</t>
  </si>
  <si>
    <t>Место расположения объекта</t>
  </si>
  <si>
    <t>Технические характеристики</t>
  </si>
  <si>
    <t>Используемое топливо</t>
  </si>
  <si>
    <t>выработка,
млн. кВт/ч</t>
  </si>
  <si>
    <t>Сроки реализации проекта</t>
  </si>
  <si>
    <t>Наличие исходно-разрешительной документации</t>
  </si>
  <si>
    <t>заключение Главгосэкспертизы
 России
(+; -)</t>
  </si>
  <si>
    <t>утвержденная проектно-сметная документация
(+; -)</t>
  </si>
  <si>
    <t>разрешение
на строительство
(+; -)</t>
  </si>
  <si>
    <t>Процент освоения сметной стоимости
на 01.01 года №,
%</t>
  </si>
  <si>
    <t>Стоимость объекта, млн. рублей</t>
  </si>
  <si>
    <t>в соответствии
с проектно-
сметной
документацией ***</t>
  </si>
  <si>
    <t>Остаточная стоимость объекта на 01.01. года №,
млн. рублей</t>
  </si>
  <si>
    <t>Обоснование необходимости реализации проекта</t>
  </si>
  <si>
    <t>решаемые задачи *</t>
  </si>
  <si>
    <t>основание включения инвестиционного
проекта в инвести-
ционную программу (решение Правительства Российской Федерации, федеральные, региональные
и муниципальные)</t>
  </si>
  <si>
    <t>Показатели экономической эффективности реализации инвестиционного проекта ****</t>
  </si>
  <si>
    <t>NPV,
млн. рублей</t>
  </si>
  <si>
    <t>IRR,
%</t>
  </si>
  <si>
    <t>простой</t>
  </si>
  <si>
    <t>дискон-
тиро-
ванный</t>
  </si>
  <si>
    <t>Доходность</t>
  </si>
  <si>
    <t>Срок окупаемости</t>
  </si>
  <si>
    <t>Иркутская область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</si>
  <si>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</si>
  <si>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</si>
  <si>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</si>
  <si>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</si>
  <si>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</si>
  <si>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</si>
  <si>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В том числе:</t>
  </si>
  <si>
    <t>- степень износа электрооборудования</t>
  </si>
  <si>
    <t>- срок вывода из эксплуатации электрооборудования</t>
  </si>
  <si>
    <t>- уровень технического оснащения электрооборудования</t>
  </si>
  <si>
    <t>- требования Системного оператора к электроэнергетическому объекту, которые необходимы для надежного и бесперебойного электрообеспечения объекта (энергорайона)</t>
  </si>
  <si>
    <t>Определяется исходя из выполнения графика строительства.</t>
  </si>
  <si>
    <t>В текущих ценах без НДС с применением коэффициента пересчета к базовым ценам Минрегион России или иных уполномоченных государственных органов (указать).</t>
  </si>
  <si>
    <t>Приложить финансовую модель по проекту (приложение 2.3).</t>
  </si>
  <si>
    <t>г.Братск</t>
  </si>
  <si>
    <t>г.Вихоревка, поселки Братского и Нижнеилимского районов</t>
  </si>
  <si>
    <t>Братский район, 
п.Прибрежный</t>
  </si>
  <si>
    <t>длина ВЛ/КЛ, км</t>
  </si>
  <si>
    <t>Техническая готовность объекта
на 01.01.20__,
% **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</si>
  <si>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</si>
  <si>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</si>
  <si>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</si>
  <si>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</si>
  <si>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</si>
  <si>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</si>
  <si>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</si>
  <si>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</si>
  <si>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</si>
  <si>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</si>
  <si>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</si>
  <si>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</si>
  <si>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</si>
  <si>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</si>
  <si>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</si>
  <si>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</si>
  <si>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</si>
  <si>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</si>
  <si>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</si>
  <si>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</si>
  <si>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</si>
  <si>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</si>
  <si>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</si>
  <si>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</si>
  <si>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</si>
  <si>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</si>
  <si>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</si>
  <si>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</si>
  <si>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</si>
  <si>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</si>
  <si>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</si>
  <si>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</si>
  <si>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</si>
  <si>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</si>
  <si>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</si>
  <si>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</si>
  <si>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</si>
  <si>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</si>
  <si>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</si>
  <si>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</si>
  <si>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</si>
  <si>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</si>
  <si>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</si>
  <si>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</si>
  <si>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</si>
  <si>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</si>
  <si>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мощность,
 МВА</t>
  </si>
  <si>
    <t>год
начала строитель-ства</t>
  </si>
  <si>
    <t>год
ввода в эксплуата-цию</t>
  </si>
  <si>
    <t>оформленный в соответствии с законодательством землеотвод
(+; -)</t>
  </si>
  <si>
    <t>в соответствии
с итогами конкурсов
и заключенны-ми договорами</t>
  </si>
  <si>
    <t>режимно-балансовая необходимость</t>
  </si>
  <si>
    <t>1.1.7</t>
  </si>
  <si>
    <t>20 МВА</t>
  </si>
  <si>
    <t>Реконструкция ПС 35/6 кВ "Порожская" в жилом районе Порожский города Братск</t>
  </si>
  <si>
    <t>Реконструкция ПС 35/6 кВ "Строительная" в городе Усть-Илимске</t>
  </si>
  <si>
    <t>Строительство электрических сетей 6кВ от ПС "Строительная" в городе Усть-Илимске</t>
  </si>
  <si>
    <t>Строительство РП-6кВ в городе Усть-Илимске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</si>
  <si>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</si>
  <si>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</si>
  <si>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</si>
  <si>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</si>
  <si>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</si>
  <si>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</si>
  <si>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Строительство ВЛ-35кВ в городе Усть-Илимске</t>
  </si>
  <si>
    <t>32 МВА
6,3 км</t>
  </si>
  <si>
    <t>0,4 МВА
1,1 км</t>
  </si>
  <si>
    <t>1,26 МВА
3,4 км</t>
  </si>
  <si>
    <t>0,4 МВА
2,5 км</t>
  </si>
  <si>
    <t>1,26 МВА
2,2 км</t>
  </si>
  <si>
    <t>РП-6кВ
14 ячеек</t>
  </si>
  <si>
    <t>план 
2020 года</t>
  </si>
  <si>
    <t>план 
2021 года</t>
  </si>
  <si>
    <t>план 
2022 года</t>
  </si>
  <si>
    <t>план 
2023 года</t>
  </si>
  <si>
    <t>план 
2024 года</t>
  </si>
  <si>
    <t>12,6 МВА
34 км</t>
  </si>
  <si>
    <t>6,3 МВА
11 км</t>
  </si>
  <si>
    <t>6,3 МВА
17 км</t>
  </si>
  <si>
    <t>4 МВА
17 км</t>
  </si>
  <si>
    <t>0,75 МВА
2,1 км</t>
  </si>
  <si>
    <t>3,75 МВА
10,5 км</t>
  </si>
  <si>
    <t>2 МВА
12,5 км</t>
  </si>
  <si>
    <t>32 МВА</t>
  </si>
  <si>
    <t>0,4 МВА
0,8 км</t>
  </si>
  <si>
    <t>0,8 МВА
3 км</t>
  </si>
  <si>
    <t>8 км</t>
  </si>
  <si>
    <t>4км</t>
  </si>
  <si>
    <t>0,8 МВА
3,7 км</t>
  </si>
  <si>
    <t>0,35 км
РП-10кВ
7 ячеек с ВВ</t>
  </si>
  <si>
    <t>3,35 км 
РП-10кВ
7 ячеек с ВВ</t>
  </si>
  <si>
    <t xml:space="preserve">4 км </t>
  </si>
  <si>
    <t xml:space="preserve">2,6 км </t>
  </si>
  <si>
    <t xml:space="preserve">2 км </t>
  </si>
  <si>
    <t>2 МВА
5,5 км</t>
  </si>
  <si>
    <t>17,8 км</t>
  </si>
  <si>
    <t>2 * 8,9 км</t>
  </si>
  <si>
    <t>8 МВА
17,8 км</t>
  </si>
  <si>
    <t>19,8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</si>
  <si>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</si>
  <si>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</si>
  <si>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</si>
  <si>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</si>
  <si>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</si>
  <si>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</si>
  <si>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</si>
  <si>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</si>
  <si>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Краткое описание инвестиционной программы 2020 - 2024 гг.</t>
  </si>
  <si>
    <t>Чунский район</t>
  </si>
  <si>
    <t>Ленинский район города Иркутска, Иркутский и Ангарский районы</t>
  </si>
  <si>
    <t>г. Усть-Илимск</t>
  </si>
  <si>
    <t>г. Братск, г.Вихоревка, Иркутский, Ангарский районы, поселки Братского, Чунского, Нижнеилимского районов</t>
  </si>
  <si>
    <t>Ленинский район города Иркутска</t>
  </si>
  <si>
    <t xml:space="preserve"> п.Мегет,  Ангарский район</t>
  </si>
  <si>
    <t>г.Вихоревка, поселки Братского района</t>
  </si>
  <si>
    <t>Нижнеилимский район</t>
  </si>
  <si>
    <t>В.В. Воробьёв</t>
  </si>
  <si>
    <t>"____"_________________ 2019 г.</t>
  </si>
  <si>
    <t>Акционерное общество "Братская электросетевая компания"</t>
  </si>
  <si>
    <t>76,35 МВА
81,85 км</t>
  </si>
  <si>
    <t>2 МВА
19,5 км</t>
  </si>
  <si>
    <t>66,6 МВА
149,4 км</t>
  </si>
  <si>
    <t>142,95 МВА
231,25 км</t>
  </si>
  <si>
    <t>"_____"_________________ 2019 г.</t>
  </si>
  <si>
    <t>2.1.16</t>
  </si>
  <si>
    <t>2.1.17</t>
  </si>
  <si>
    <t>2.1.18</t>
  </si>
  <si>
    <t>2.1.19</t>
  </si>
  <si>
    <t>Строительство ВЛ-35 кВ,  ПС 35/10кВ в п.Янталь, Усть-Кутского района</t>
  </si>
  <si>
    <t>12,6 МВА
0,5 км</t>
  </si>
  <si>
    <t>2,5 МВА</t>
  </si>
  <si>
    <t>Строительство ПС 27,5/10кВ. Распределительных сетей 10-0,4кВ в п.Парижская Коммуна, Тайшетского района</t>
  </si>
  <si>
    <t>0,4 МВА
1,5 км</t>
  </si>
  <si>
    <t>0,8 МВА
2,2 км</t>
  </si>
  <si>
    <t>4,1 МВА
5,2 км</t>
  </si>
  <si>
    <t>Строительство распределительных сетей 10-0,4кВ в п.Янталь, Усть-Кутского района</t>
  </si>
  <si>
    <t>4,22 МВА
6,4 км</t>
  </si>
  <si>
    <t>1,28 МВА
4,2 км</t>
  </si>
  <si>
    <t>0,4 МВА
0,5 км</t>
  </si>
  <si>
    <t>1,26 МВА
1,5 км</t>
  </si>
  <si>
    <t>2,94 МВА
5,9 км</t>
  </si>
  <si>
    <t>10,1 МВА
18,5 км</t>
  </si>
  <si>
    <t>1,13 МВА
3,9 км</t>
  </si>
  <si>
    <t>0,8 МВА
2,3 км</t>
  </si>
  <si>
    <t>0,88 МВА
3 км</t>
  </si>
  <si>
    <t>0,25 МВА
3,2 км</t>
  </si>
  <si>
    <t>1,05 МВА
5,5 км</t>
  </si>
  <si>
    <t>4,11 МВА
17,9 км</t>
  </si>
  <si>
    <t>Строительство распределительных сетей 10-0,4кВ в г.Тайшет, п.Тагул, д.Сергина, п.Невельская, д.Малиновка, г.Бирюсинск Тайшетского района</t>
  </si>
  <si>
    <t>Усть-Кутский район,
п.Янталь</t>
  </si>
  <si>
    <t>Тайшетскоий район,
п.Парижская Коммуна</t>
  </si>
  <si>
    <t xml:space="preserve">Тайшетскоий район,
 г.Тайшет, п.Тагул, д.Сергина, п.Невельская, д.Малиновка, г.Бирюсинск </t>
  </si>
  <si>
    <t>И.о. генерального директора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</si>
</sst>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.000"/>
    <numFmt numFmtId="166" formatCode="#,##0.0000"/>
    <numFmt numFmtId="167" formatCode="#,##0.00000000"/>
    <numFmt numFmtId="168" formatCode="0.00000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164" fontId="6" fillId="0" borderId="3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6" fillId="2" borderId="0" xfId="0" applyFont="1" applyFill="1"/>
    <xf numFmtId="0" fontId="9" fillId="2" borderId="0" xfId="0" applyFont="1" applyFill="1"/>
    <xf numFmtId="164" fontId="6" fillId="2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10" fillId="2" borderId="0" xfId="0" applyFont="1" applyFill="1"/>
    <xf numFmtId="164" fontId="10" fillId="2" borderId="0" xfId="0" applyNumberFormat="1" applyFont="1" applyFill="1"/>
    <xf numFmtId="0" fontId="0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49" fontId="7" fillId="0" borderId="0" xfId="0" applyNumberFormat="1" applyFont="1" applyFill="1"/>
    <xf numFmtId="0" fontId="0" fillId="2" borderId="0" xfId="0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164" fontId="11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7" fillId="2" borderId="0" xfId="0" applyFont="1" applyFill="1" applyAlignment="1"/>
    <xf numFmtId="49" fontId="7" fillId="2" borderId="0" xfId="0" applyNumberFormat="1" applyFont="1" applyFill="1"/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/>
    <xf numFmtId="49" fontId="8" fillId="2" borderId="0" xfId="0" applyNumberFormat="1" applyFont="1" applyFill="1" applyAlignment="1"/>
    <xf numFmtId="49" fontId="8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6" fillId="2" borderId="0" xfId="0" applyFont="1" applyFill="1"/>
    <xf numFmtId="0" fontId="16" fillId="2" borderId="0" xfId="0" applyFont="1" applyFill="1" applyBorder="1"/>
    <xf numFmtId="0" fontId="16" fillId="2" borderId="0" xfId="0" applyFont="1" applyFill="1" applyAlignment="1">
      <alignment horizontal="center" vertical="top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3" xfId="0" applyFont="1" applyFill="1" applyBorder="1"/>
    <xf numFmtId="164" fontId="17" fillId="2" borderId="3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164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left" vertical="center" wrapText="1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49" fontId="16" fillId="2" borderId="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22" fillId="2" borderId="3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164" fontId="18" fillId="2" borderId="9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8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/>
    </xf>
    <xf numFmtId="0" fontId="16" fillId="2" borderId="10" xfId="0" applyNumberFormat="1" applyFont="1" applyFill="1" applyBorder="1" applyAlignment="1">
      <alignment horizontal="center" vertical="center"/>
    </xf>
    <xf numFmtId="0" fontId="18" fillId="2" borderId="3" xfId="0" applyNumberFormat="1" applyFont="1" applyFill="1" applyBorder="1" applyAlignment="1">
      <alignment horizontal="center" vertical="center"/>
    </xf>
    <xf numFmtId="0" fontId="16" fillId="2" borderId="3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>
      <alignment horizontal="center" vertical="center"/>
    </xf>
    <xf numFmtId="0" fontId="18" fillId="2" borderId="9" xfId="0" applyNumberFormat="1" applyFont="1" applyFill="1" applyBorder="1" applyAlignment="1">
      <alignment horizontal="center" vertical="center"/>
    </xf>
    <xf numFmtId="0" fontId="18" fillId="2" borderId="0" xfId="0" applyFont="1" applyFill="1" applyBorder="1"/>
    <xf numFmtId="0" fontId="18" fillId="2" borderId="0" xfId="0" applyFont="1" applyFill="1"/>
    <xf numFmtId="0" fontId="8" fillId="2" borderId="0" xfId="0" applyFont="1" applyFill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0" fontId="17" fillId="2" borderId="3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/>
    <xf numFmtId="0" fontId="25" fillId="2" borderId="0" xfId="0" applyFont="1" applyFill="1"/>
    <xf numFmtId="164" fontId="25" fillId="2" borderId="0" xfId="0" applyNumberFormat="1" applyFont="1" applyFill="1"/>
    <xf numFmtId="0" fontId="26" fillId="2" borderId="0" xfId="0" applyFont="1" applyFill="1"/>
    <xf numFmtId="165" fontId="18" fillId="0" borderId="3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164" fontId="18" fillId="0" borderId="3" xfId="0" applyNumberFormat="1" applyFont="1" applyFill="1" applyBorder="1" applyAlignment="1">
      <alignment horizontal="center" vertical="center"/>
    </xf>
    <xf numFmtId="164" fontId="20" fillId="0" borderId="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166" fontId="17" fillId="2" borderId="3" xfId="0" applyNumberFormat="1" applyFont="1" applyFill="1" applyBorder="1" applyAlignment="1">
      <alignment horizontal="center" vertical="center"/>
    </xf>
    <xf numFmtId="167" fontId="17" fillId="2" borderId="3" xfId="0" applyNumberFormat="1" applyFont="1" applyFill="1" applyBorder="1" applyAlignment="1">
      <alignment horizontal="center" vertical="center"/>
    </xf>
    <xf numFmtId="168" fontId="16" fillId="2" borderId="3" xfId="0" applyNumberFormat="1" applyFont="1" applyFill="1" applyBorder="1"/>
    <xf numFmtId="0" fontId="17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right" vertical="top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6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textRotation="90" wrapText="1"/>
    </xf>
    <xf numFmtId="0" fontId="17" fillId="2" borderId="5" xfId="0" applyFont="1" applyFill="1" applyBorder="1" applyAlignment="1">
      <alignment horizontal="center" vertical="center" textRotation="90" wrapText="1"/>
    </xf>
    <xf numFmtId="0" fontId="17" fillId="2" borderId="6" xfId="0" applyFont="1" applyFill="1" applyBorder="1" applyAlignment="1">
      <alignment horizontal="center" vertical="center" textRotation="90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23" fillId="2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80"/>
  <sheetViews>
    <sheetView tabSelected="1" zoomScale="40" zoomScaleNormal="40" zoomScaleSheetLayoutView="55" zoomScalePageLayoutView="55" workbookViewId="0">
      <selection activeCell="S4" sqref="S4:U4"/>
    </sheetView>
  </sheetViews>
  <sheetFormatPr defaultRowHeight="14.4"/>
  <cols>
    <col min="1" max="1" width="10.77734375" style="18" customWidth="1"/>
    <col min="2" max="2" width="31.5546875" style="4" customWidth="1"/>
    <col min="3" max="3" width="10" style="4" customWidth="1"/>
    <col min="4" max="4" width="15.5546875" style="4" customWidth="1"/>
    <col min="5" max="5" width="13.88671875" style="4" customWidth="1"/>
    <col min="6" max="6" width="14.88671875" style="4" customWidth="1"/>
    <col min="7" max="7" width="14.6640625" style="4" customWidth="1"/>
    <col min="8" max="8" width="14.109375" style="4" customWidth="1"/>
    <col min="9" max="9" width="12.5546875" style="4" customWidth="1"/>
    <col min="10" max="14" width="13.6640625" style="4" customWidth="1"/>
    <col min="15" max="15" width="13.44140625" style="4" customWidth="1"/>
    <col min="16" max="19" width="15.77734375" style="4" customWidth="1"/>
    <col min="20" max="20" width="15.77734375" style="29" customWidth="1"/>
    <col min="21" max="21" width="18.5546875" style="4" customWidth="1"/>
  </cols>
  <sheetData>
    <row r="1" spans="1:21" ht="42" customHeight="1">
      <c r="S1" s="135" t="s">
        <v>11</v>
      </c>
      <c r="T1" s="135"/>
      <c r="U1" s="135"/>
    </row>
    <row r="2" spans="1:21" ht="18">
      <c r="S2" s="136" t="s">
        <v>12</v>
      </c>
      <c r="T2" s="136"/>
      <c r="U2" s="136"/>
    </row>
    <row r="3" spans="1:21" ht="18">
      <c r="S3" s="136" t="s">
        <v>292</v>
      </c>
      <c r="T3" s="136"/>
      <c r="U3" s="136"/>
    </row>
    <row r="4" spans="1:21" ht="18">
      <c r="S4" s="137" t="s">
        <v>176</v>
      </c>
      <c r="T4" s="137"/>
      <c r="U4" s="137"/>
    </row>
    <row r="5" spans="1:21" ht="18">
      <c r="S5" s="138" t="s">
        <v>256</v>
      </c>
      <c r="T5" s="138"/>
      <c r="U5" s="138"/>
    </row>
    <row r="6" spans="1:21" ht="28.8" customHeight="1">
      <c r="Q6" s="3"/>
      <c r="R6" s="3"/>
      <c r="S6" s="59"/>
      <c r="T6" s="101"/>
      <c r="U6" s="60"/>
    </row>
    <row r="7" spans="1:21" ht="18">
      <c r="Q7" s="3"/>
      <c r="R7" s="3"/>
      <c r="S7" s="133" t="s">
        <v>13</v>
      </c>
      <c r="T7" s="133"/>
      <c r="U7" s="134"/>
    </row>
    <row r="8" spans="1:21" ht="18" customHeight="1">
      <c r="R8" s="129" t="s">
        <v>257</v>
      </c>
      <c r="S8" s="129"/>
      <c r="T8" s="129"/>
      <c r="U8" s="129"/>
    </row>
    <row r="9" spans="1:21" s="4" customFormat="1" ht="18">
      <c r="A9" s="18"/>
      <c r="Q9" s="3"/>
      <c r="R9" s="3"/>
      <c r="S9" s="59"/>
      <c r="T9" s="102"/>
      <c r="U9" s="61" t="s">
        <v>14</v>
      </c>
    </row>
    <row r="10" spans="1:21" s="4" customFormat="1" ht="22.8">
      <c r="A10" s="130" t="s">
        <v>258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</row>
    <row r="11" spans="1:21" s="4" customFormat="1" ht="22.8">
      <c r="A11" s="130" t="s">
        <v>15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</row>
    <row r="12" spans="1:21" s="4" customFormat="1" ht="15.6">
      <c r="A12" s="18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03"/>
      <c r="U12" s="2"/>
    </row>
    <row r="13" spans="1:21" s="4" customFormat="1" ht="49.5" customHeight="1">
      <c r="A13" s="131" t="s">
        <v>0</v>
      </c>
      <c r="B13" s="131" t="s">
        <v>1</v>
      </c>
      <c r="C13" s="131" t="s">
        <v>239</v>
      </c>
      <c r="D13" s="131" t="s">
        <v>184</v>
      </c>
      <c r="E13" s="131" t="s">
        <v>182</v>
      </c>
      <c r="F13" s="131" t="s">
        <v>183</v>
      </c>
      <c r="G13" s="131" t="s">
        <v>185</v>
      </c>
      <c r="H13" s="131" t="s">
        <v>180</v>
      </c>
      <c r="I13" s="131" t="s">
        <v>181</v>
      </c>
      <c r="J13" s="131" t="s">
        <v>4</v>
      </c>
      <c r="K13" s="131"/>
      <c r="L13" s="131"/>
      <c r="M13" s="131"/>
      <c r="N13" s="131"/>
      <c r="O13" s="131"/>
      <c r="P13" s="131" t="s">
        <v>6</v>
      </c>
      <c r="Q13" s="131"/>
      <c r="R13" s="131"/>
      <c r="S13" s="131"/>
      <c r="T13" s="131"/>
      <c r="U13" s="131"/>
    </row>
    <row r="14" spans="1:21" s="4" customFormat="1" ht="57" customHeight="1">
      <c r="A14" s="131"/>
      <c r="B14" s="131"/>
      <c r="C14" s="131"/>
      <c r="D14" s="131"/>
      <c r="E14" s="131"/>
      <c r="F14" s="131"/>
      <c r="G14" s="131"/>
      <c r="H14" s="131"/>
      <c r="I14" s="131"/>
      <c r="J14" s="107" t="s">
        <v>211</v>
      </c>
      <c r="K14" s="107" t="s">
        <v>212</v>
      </c>
      <c r="L14" s="107" t="s">
        <v>213</v>
      </c>
      <c r="M14" s="107" t="s">
        <v>214</v>
      </c>
      <c r="N14" s="107" t="s">
        <v>215</v>
      </c>
      <c r="O14" s="107" t="s">
        <v>5</v>
      </c>
      <c r="P14" s="107" t="s">
        <v>211</v>
      </c>
      <c r="Q14" s="107" t="s">
        <v>212</v>
      </c>
      <c r="R14" s="107" t="s">
        <v>213</v>
      </c>
      <c r="S14" s="107" t="s">
        <v>214</v>
      </c>
      <c r="T14" s="107" t="s">
        <v>215</v>
      </c>
      <c r="U14" s="107" t="s">
        <v>5</v>
      </c>
    </row>
    <row r="15" spans="1:21" s="4" customFormat="1" ht="49.5" customHeight="1">
      <c r="A15" s="109"/>
      <c r="B15" s="125"/>
      <c r="C15" s="109" t="s">
        <v>2</v>
      </c>
      <c r="D15" s="107" t="s">
        <v>179</v>
      </c>
      <c r="E15" s="107"/>
      <c r="F15" s="107"/>
      <c r="G15" s="107" t="s">
        <v>3</v>
      </c>
      <c r="H15" s="107" t="s">
        <v>3</v>
      </c>
      <c r="I15" s="107" t="s">
        <v>3</v>
      </c>
      <c r="J15" s="107" t="s">
        <v>179</v>
      </c>
      <c r="K15" s="107" t="s">
        <v>179</v>
      </c>
      <c r="L15" s="107" t="s">
        <v>179</v>
      </c>
      <c r="M15" s="107" t="s">
        <v>179</v>
      </c>
      <c r="N15" s="107" t="s">
        <v>179</v>
      </c>
      <c r="O15" s="107" t="s">
        <v>179</v>
      </c>
      <c r="P15" s="107" t="s">
        <v>3</v>
      </c>
      <c r="Q15" s="107" t="s">
        <v>3</v>
      </c>
      <c r="R15" s="107" t="s">
        <v>3</v>
      </c>
      <c r="S15" s="107" t="s">
        <v>3</v>
      </c>
      <c r="T15" s="111" t="s">
        <v>3</v>
      </c>
      <c r="U15" s="107" t="s">
        <v>3</v>
      </c>
    </row>
    <row r="16" spans="1:21" s="4" customFormat="1" ht="50.4" customHeight="1">
      <c r="A16" s="112"/>
      <c r="B16" s="109" t="s">
        <v>7</v>
      </c>
      <c r="C16" s="65"/>
      <c r="D16" s="127" t="s">
        <v>262</v>
      </c>
      <c r="E16" s="65"/>
      <c r="F16" s="65"/>
      <c r="G16" s="66">
        <f>G17+G42</f>
        <v>1690.5525693767172</v>
      </c>
      <c r="H16" s="66">
        <f>H17+H42</f>
        <v>1690.5525693767172</v>
      </c>
      <c r="I16" s="66"/>
      <c r="J16" s="66"/>
      <c r="K16" s="66"/>
      <c r="L16" s="66"/>
      <c r="M16" s="66"/>
      <c r="N16" s="66"/>
      <c r="O16" s="66"/>
      <c r="P16" s="66">
        <f>P17+P42</f>
        <v>406.5996426035</v>
      </c>
      <c r="Q16" s="66">
        <f t="shared" ref="Q16:U16" si="0">Q17+Q42</f>
        <v>421.20039301389397</v>
      </c>
      <c r="R16" s="66">
        <f t="shared" si="0"/>
        <v>439.30800648803421</v>
      </c>
      <c r="S16" s="66">
        <f>S17+S42</f>
        <v>458.22710960148038</v>
      </c>
      <c r="T16" s="66">
        <f t="shared" si="0"/>
        <v>477.86066540499382</v>
      </c>
      <c r="U16" s="66">
        <f t="shared" si="0"/>
        <v>2203.1958171119022</v>
      </c>
    </row>
    <row r="17" spans="1:23" s="4" customFormat="1" ht="75" customHeight="1">
      <c r="A17" s="112">
        <v>1</v>
      </c>
      <c r="B17" s="107" t="s">
        <v>8</v>
      </c>
      <c r="C17" s="65"/>
      <c r="D17" s="127" t="str">
        <f>D18</f>
        <v>76,35 МВА
81,85 км</v>
      </c>
      <c r="E17" s="65"/>
      <c r="F17" s="65"/>
      <c r="G17" s="66">
        <f>G18+G39</f>
        <v>700.85881762015379</v>
      </c>
      <c r="H17" s="66">
        <f>H18+H39</f>
        <v>700.85881762015379</v>
      </c>
      <c r="I17" s="66"/>
      <c r="J17" s="66"/>
      <c r="K17" s="66"/>
      <c r="L17" s="66"/>
      <c r="M17" s="124"/>
      <c r="N17" s="66"/>
      <c r="O17" s="66"/>
      <c r="P17" s="66">
        <f>P18+P39</f>
        <v>77.332058600000011</v>
      </c>
      <c r="Q17" s="66">
        <f t="shared" ref="Q17:T17" si="1">Q18+Q39</f>
        <v>165.2585548408</v>
      </c>
      <c r="R17" s="66">
        <f t="shared" si="1"/>
        <v>149.17736844877282</v>
      </c>
      <c r="S17" s="66">
        <f t="shared" si="1"/>
        <v>227.06311635944104</v>
      </c>
      <c r="T17" s="66">
        <f t="shared" si="1"/>
        <v>82.027719371139909</v>
      </c>
      <c r="U17" s="66">
        <f>U18+U39</f>
        <v>700.85881762015379</v>
      </c>
    </row>
    <row r="18" spans="1:23" s="4" customFormat="1" ht="85.8" customHeight="1">
      <c r="A18" s="67" t="s">
        <v>10</v>
      </c>
      <c r="B18" s="107" t="s">
        <v>9</v>
      </c>
      <c r="C18" s="65"/>
      <c r="D18" s="127" t="s">
        <v>259</v>
      </c>
      <c r="E18" s="126"/>
      <c r="F18" s="65"/>
      <c r="G18" s="66">
        <f>SUM(G19:G25)</f>
        <v>565.85881762015379</v>
      </c>
      <c r="H18" s="66">
        <f>SUM(H19:H25)</f>
        <v>565.85881762015379</v>
      </c>
      <c r="I18" s="66"/>
      <c r="J18" s="65"/>
      <c r="K18" s="65"/>
      <c r="L18" s="65"/>
      <c r="M18" s="65"/>
      <c r="N18" s="65"/>
      <c r="O18" s="65"/>
      <c r="P18" s="66">
        <f>SUM(P19:P26)</f>
        <v>57.332058600000003</v>
      </c>
      <c r="Q18" s="66">
        <f t="shared" ref="Q18:U18" si="2">SUM(Q19:Q26)</f>
        <v>140.2585548408</v>
      </c>
      <c r="R18" s="66">
        <f t="shared" si="2"/>
        <v>119.17736844877282</v>
      </c>
      <c r="S18" s="66">
        <f t="shared" si="2"/>
        <v>197.06311635944104</v>
      </c>
      <c r="T18" s="66">
        <f t="shared" si="2"/>
        <v>52.027719371139902</v>
      </c>
      <c r="U18" s="66">
        <f t="shared" si="2"/>
        <v>565.85881762015379</v>
      </c>
    </row>
    <row r="19" spans="1:23" s="4" customFormat="1" ht="230.4" customHeight="1">
      <c r="A19" s="67" t="s">
        <v>16</v>
      </c>
      <c r="B19" s="68" t="s">
        <v>177</v>
      </c>
      <c r="C19" s="69" t="s">
        <v>17</v>
      </c>
      <c r="D19" s="76" t="str">
        <f t="shared" ref="D19:D21" si="3">O19</f>
        <v>12,6 МВА
34 км</v>
      </c>
      <c r="E19" s="112">
        <v>2020</v>
      </c>
      <c r="F19" s="112">
        <v>2024</v>
      </c>
      <c r="G19" s="108">
        <f>U19</f>
        <v>98.155763103330571</v>
      </c>
      <c r="H19" s="108">
        <f>G19</f>
        <v>98.155763103330571</v>
      </c>
      <c r="I19" s="108"/>
      <c r="J19" s="76" t="s">
        <v>199</v>
      </c>
      <c r="K19" s="76" t="s">
        <v>199</v>
      </c>
      <c r="L19" s="76" t="s">
        <v>199</v>
      </c>
      <c r="M19" s="76" t="s">
        <v>199</v>
      </c>
      <c r="N19" s="76" t="s">
        <v>199</v>
      </c>
      <c r="O19" s="76" t="s">
        <v>216</v>
      </c>
      <c r="P19" s="119">
        <v>17.989024400000002</v>
      </c>
      <c r="Q19" s="119">
        <v>18.780541473600003</v>
      </c>
      <c r="R19" s="119">
        <v>19.606885298438403</v>
      </c>
      <c r="S19" s="104">
        <v>20.449981366271253</v>
      </c>
      <c r="T19" s="119">
        <v>21.329330565020914</v>
      </c>
      <c r="U19" s="108">
        <f>SUM(P19:T19)</f>
        <v>98.155763103330571</v>
      </c>
    </row>
    <row r="20" spans="1:23" s="4" customFormat="1" ht="286.8" customHeight="1">
      <c r="A20" s="67" t="s">
        <v>19</v>
      </c>
      <c r="B20" s="68" t="s">
        <v>18</v>
      </c>
      <c r="C20" s="69" t="s">
        <v>17</v>
      </c>
      <c r="D20" s="76" t="str">
        <f t="shared" si="3"/>
        <v>4 МВА
17 км</v>
      </c>
      <c r="E20" s="112">
        <v>2020</v>
      </c>
      <c r="F20" s="112">
        <v>2024</v>
      </c>
      <c r="G20" s="108">
        <f t="shared" ref="G20:G25" si="4">U20</f>
        <v>45.000633420865789</v>
      </c>
      <c r="H20" s="108">
        <f t="shared" ref="H20:H25" si="5">G20</f>
        <v>45.000633420865789</v>
      </c>
      <c r="I20" s="108"/>
      <c r="J20" s="76" t="s">
        <v>200</v>
      </c>
      <c r="K20" s="76" t="s">
        <v>200</v>
      </c>
      <c r="L20" s="76" t="s">
        <v>200</v>
      </c>
      <c r="M20" s="76" t="s">
        <v>200</v>
      </c>
      <c r="N20" s="76" t="s">
        <v>200</v>
      </c>
      <c r="O20" s="76" t="s">
        <v>219</v>
      </c>
      <c r="P20" s="119">
        <v>8.2472742000000014</v>
      </c>
      <c r="Q20" s="119">
        <v>8.610154264800002</v>
      </c>
      <c r="R20" s="119">
        <v>8.9890010524512025</v>
      </c>
      <c r="S20" s="104">
        <v>9.3755280977066029</v>
      </c>
      <c r="T20" s="119">
        <v>9.7786758059079855</v>
      </c>
      <c r="U20" s="108">
        <f t="shared" ref="U20:U24" si="6">SUM(P20:T20)</f>
        <v>45.000633420865789</v>
      </c>
    </row>
    <row r="21" spans="1:23" s="4" customFormat="1" ht="231" customHeight="1">
      <c r="A21" s="67" t="s">
        <v>21</v>
      </c>
      <c r="B21" s="68" t="s">
        <v>20</v>
      </c>
      <c r="C21" s="69" t="s">
        <v>17</v>
      </c>
      <c r="D21" s="76" t="str">
        <f t="shared" si="3"/>
        <v>3,75 МВА
10,5 км</v>
      </c>
      <c r="E21" s="112">
        <v>2020</v>
      </c>
      <c r="F21" s="112">
        <v>2024</v>
      </c>
      <c r="G21" s="108">
        <f t="shared" si="4"/>
        <v>51.270104527461484</v>
      </c>
      <c r="H21" s="108">
        <f t="shared" si="5"/>
        <v>51.270104527461484</v>
      </c>
      <c r="I21" s="112"/>
      <c r="J21" s="76" t="s">
        <v>220</v>
      </c>
      <c r="K21" s="76" t="s">
        <v>220</v>
      </c>
      <c r="L21" s="76" t="s">
        <v>220</v>
      </c>
      <c r="M21" s="76" t="s">
        <v>220</v>
      </c>
      <c r="N21" s="76" t="s">
        <v>220</v>
      </c>
      <c r="O21" s="76" t="s">
        <v>221</v>
      </c>
      <c r="P21" s="119">
        <v>9.3962813000000001</v>
      </c>
      <c r="Q21" s="119">
        <v>9.8097176772000001</v>
      </c>
      <c r="R21" s="119">
        <v>10.241345254996801</v>
      </c>
      <c r="S21" s="104">
        <v>10.681723100961664</v>
      </c>
      <c r="T21" s="119">
        <v>11.141037194303015</v>
      </c>
      <c r="U21" s="108">
        <f t="shared" si="6"/>
        <v>51.270104527461484</v>
      </c>
    </row>
    <row r="22" spans="1:23" s="4" customFormat="1" ht="296.25" customHeight="1">
      <c r="A22" s="67" t="s">
        <v>22</v>
      </c>
      <c r="B22" s="78" t="s">
        <v>23</v>
      </c>
      <c r="C22" s="69" t="s">
        <v>17</v>
      </c>
      <c r="D22" s="76" t="str">
        <f t="shared" ref="D22:D24" si="7">O22</f>
        <v>4 МВА
17 км</v>
      </c>
      <c r="E22" s="112">
        <v>2020</v>
      </c>
      <c r="F22" s="112">
        <v>2024</v>
      </c>
      <c r="G22" s="108">
        <f t="shared" si="4"/>
        <v>45.000633420865789</v>
      </c>
      <c r="H22" s="108">
        <f t="shared" si="5"/>
        <v>45.000633420865789</v>
      </c>
      <c r="I22" s="76"/>
      <c r="J22" s="76" t="s">
        <v>200</v>
      </c>
      <c r="K22" s="76" t="s">
        <v>200</v>
      </c>
      <c r="L22" s="76" t="s">
        <v>200</v>
      </c>
      <c r="M22" s="76" t="s">
        <v>200</v>
      </c>
      <c r="N22" s="76" t="s">
        <v>200</v>
      </c>
      <c r="O22" s="76" t="s">
        <v>219</v>
      </c>
      <c r="P22" s="119">
        <v>8.2472742000000014</v>
      </c>
      <c r="Q22" s="119">
        <v>8.610154264800002</v>
      </c>
      <c r="R22" s="119">
        <v>8.9890010524512025</v>
      </c>
      <c r="S22" s="104">
        <v>9.3755280977066029</v>
      </c>
      <c r="T22" s="119">
        <v>9.7786758059079855</v>
      </c>
      <c r="U22" s="108">
        <f t="shared" si="6"/>
        <v>45.000633420865789</v>
      </c>
      <c r="V22" s="57"/>
      <c r="W22" s="56"/>
    </row>
    <row r="23" spans="1:23" s="4" customFormat="1" ht="268.2" customHeight="1">
      <c r="A23" s="67" t="s">
        <v>25</v>
      </c>
      <c r="B23" s="68" t="s">
        <v>24</v>
      </c>
      <c r="C23" s="69" t="s">
        <v>17</v>
      </c>
      <c r="D23" s="76" t="str">
        <f t="shared" si="7"/>
        <v>3,35 км 
РП-10кВ
7 ячеек с ВВ</v>
      </c>
      <c r="E23" s="69">
        <v>2019</v>
      </c>
      <c r="F23" s="76">
        <v>2022</v>
      </c>
      <c r="G23" s="108">
        <f t="shared" si="4"/>
        <v>36.334950451088005</v>
      </c>
      <c r="H23" s="108">
        <f t="shared" si="5"/>
        <v>36.334950451088005</v>
      </c>
      <c r="I23" s="77"/>
      <c r="J23" s="76"/>
      <c r="K23" s="76" t="s">
        <v>229</v>
      </c>
      <c r="L23" s="76" t="s">
        <v>26</v>
      </c>
      <c r="M23" s="120"/>
      <c r="N23" s="76"/>
      <c r="O23" s="76" t="s">
        <v>230</v>
      </c>
      <c r="P23" s="105">
        <v>10.452204500000001</v>
      </c>
      <c r="Q23" s="105">
        <v>12.416904932400001</v>
      </c>
      <c r="R23" s="105">
        <v>13.465841018688003</v>
      </c>
      <c r="S23" s="75"/>
      <c r="T23" s="105"/>
      <c r="U23" s="108">
        <f t="shared" si="6"/>
        <v>36.334950451088005</v>
      </c>
    </row>
    <row r="24" spans="1:23" s="4" customFormat="1" ht="90" customHeight="1">
      <c r="A24" s="73" t="s">
        <v>27</v>
      </c>
      <c r="B24" s="72" t="s">
        <v>194</v>
      </c>
      <c r="C24" s="69" t="s">
        <v>17</v>
      </c>
      <c r="D24" s="76" t="str">
        <f t="shared" si="7"/>
        <v>20 МВА</v>
      </c>
      <c r="E24" s="76">
        <v>2019</v>
      </c>
      <c r="F24" s="69">
        <v>2023</v>
      </c>
      <c r="G24" s="108">
        <f t="shared" si="4"/>
        <v>141.00124005098425</v>
      </c>
      <c r="H24" s="108">
        <f t="shared" si="5"/>
        <v>141.00124005098425</v>
      </c>
      <c r="I24" s="77"/>
      <c r="J24" s="79"/>
      <c r="K24" s="79"/>
      <c r="L24" s="76" t="s">
        <v>193</v>
      </c>
      <c r="M24" s="69"/>
      <c r="N24" s="76"/>
      <c r="O24" s="76" t="s">
        <v>193</v>
      </c>
      <c r="P24" s="105">
        <v>2</v>
      </c>
      <c r="Q24" s="105">
        <v>33.045682932000005</v>
      </c>
      <c r="R24" s="105">
        <v>21.208642818768006</v>
      </c>
      <c r="S24" s="105">
        <v>84.746914300216247</v>
      </c>
      <c r="T24" s="105"/>
      <c r="U24" s="108">
        <f t="shared" si="6"/>
        <v>141.00124005098425</v>
      </c>
    </row>
    <row r="25" spans="1:23" s="4" customFormat="1" ht="73.2" customHeight="1">
      <c r="A25" s="73" t="s">
        <v>192</v>
      </c>
      <c r="B25" s="72" t="s">
        <v>195</v>
      </c>
      <c r="C25" s="69" t="s">
        <v>17</v>
      </c>
      <c r="D25" s="76" t="str">
        <f>O25</f>
        <v>32 МВА</v>
      </c>
      <c r="E25" s="76">
        <v>2020</v>
      </c>
      <c r="F25" s="69">
        <v>2023</v>
      </c>
      <c r="G25" s="108">
        <f t="shared" si="4"/>
        <v>149.0954926455579</v>
      </c>
      <c r="H25" s="108">
        <f t="shared" si="5"/>
        <v>149.0954926455579</v>
      </c>
      <c r="I25" s="77"/>
      <c r="J25" s="79"/>
      <c r="K25" s="76" t="s">
        <v>223</v>
      </c>
      <c r="L25" s="79"/>
      <c r="M25" s="69"/>
      <c r="N25" s="76"/>
      <c r="O25" s="76" t="s">
        <v>223</v>
      </c>
      <c r="P25" s="119">
        <v>1</v>
      </c>
      <c r="Q25" s="119">
        <v>48.985399296000011</v>
      </c>
      <c r="R25" s="119">
        <v>36.676651952979199</v>
      </c>
      <c r="S25" s="119">
        <v>62.433441396578679</v>
      </c>
      <c r="T25" s="119"/>
      <c r="U25" s="108">
        <f>SUM(P25:T25)</f>
        <v>149.0954926455579</v>
      </c>
    </row>
    <row r="26" spans="1:23" s="4" customFormat="1" ht="18">
      <c r="A26" s="67" t="s">
        <v>28</v>
      </c>
      <c r="B26" s="6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7"/>
      <c r="Q26" s="77"/>
      <c r="R26" s="77"/>
      <c r="S26" s="77"/>
      <c r="T26" s="75"/>
      <c r="U26" s="77"/>
    </row>
    <row r="27" spans="1:23" s="4" customFormat="1" ht="77.25" customHeight="1">
      <c r="A27" s="80" t="s">
        <v>30</v>
      </c>
      <c r="B27" s="81" t="s">
        <v>29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7"/>
      <c r="Q27" s="77"/>
      <c r="R27" s="77"/>
      <c r="S27" s="77"/>
      <c r="T27" s="75"/>
      <c r="U27" s="77"/>
    </row>
    <row r="28" spans="1:23" s="4" customFormat="1" ht="18">
      <c r="A28" s="67" t="s">
        <v>33</v>
      </c>
      <c r="B28" s="68" t="s">
        <v>31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7"/>
      <c r="Q28" s="77"/>
      <c r="R28" s="77"/>
      <c r="S28" s="77"/>
      <c r="T28" s="75"/>
      <c r="U28" s="77"/>
    </row>
    <row r="29" spans="1:23" s="4" customFormat="1" ht="18">
      <c r="A29" s="67" t="s">
        <v>34</v>
      </c>
      <c r="B29" s="68" t="s">
        <v>32</v>
      </c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7"/>
      <c r="Q29" s="77"/>
      <c r="R29" s="77"/>
      <c r="S29" s="77"/>
      <c r="T29" s="75"/>
      <c r="U29" s="77"/>
    </row>
    <row r="30" spans="1:23" s="4" customFormat="1" ht="18">
      <c r="A30" s="67" t="s">
        <v>28</v>
      </c>
      <c r="B30" s="6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5"/>
      <c r="U30" s="77"/>
    </row>
    <row r="31" spans="1:23" s="4" customFormat="1" ht="34.799999999999997">
      <c r="A31" s="80" t="s">
        <v>36</v>
      </c>
      <c r="B31" s="81" t="s">
        <v>35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7"/>
      <c r="Q31" s="77"/>
      <c r="R31" s="77"/>
      <c r="S31" s="77"/>
      <c r="T31" s="75"/>
      <c r="U31" s="77"/>
    </row>
    <row r="32" spans="1:23" s="4" customFormat="1" ht="18">
      <c r="A32" s="67" t="s">
        <v>33</v>
      </c>
      <c r="B32" s="68" t="s">
        <v>31</v>
      </c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7"/>
      <c r="Q32" s="77"/>
      <c r="R32" s="77"/>
      <c r="S32" s="77"/>
      <c r="T32" s="75"/>
      <c r="U32" s="77"/>
    </row>
    <row r="33" spans="1:22" s="4" customFormat="1" ht="18">
      <c r="A33" s="67" t="s">
        <v>34</v>
      </c>
      <c r="B33" s="68" t="s">
        <v>32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7"/>
      <c r="Q33" s="77"/>
      <c r="R33" s="77"/>
      <c r="S33" s="77"/>
      <c r="T33" s="75"/>
      <c r="U33" s="77"/>
    </row>
    <row r="34" spans="1:22" s="4" customFormat="1" ht="18">
      <c r="A34" s="67" t="s">
        <v>28</v>
      </c>
      <c r="B34" s="68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7"/>
      <c r="Q34" s="77"/>
      <c r="R34" s="77"/>
      <c r="S34" s="77"/>
      <c r="T34" s="75"/>
      <c r="U34" s="77"/>
    </row>
    <row r="35" spans="1:22" s="4" customFormat="1" ht="87">
      <c r="A35" s="80" t="s">
        <v>38</v>
      </c>
      <c r="B35" s="81" t="s">
        <v>37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7"/>
      <c r="Q35" s="77"/>
      <c r="R35" s="77"/>
      <c r="S35" s="77"/>
      <c r="T35" s="75"/>
      <c r="U35" s="77"/>
    </row>
    <row r="36" spans="1:22" s="4" customFormat="1" ht="18">
      <c r="A36" s="67" t="s">
        <v>33</v>
      </c>
      <c r="B36" s="68" t="s">
        <v>31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7"/>
      <c r="Q36" s="77"/>
      <c r="R36" s="77"/>
      <c r="S36" s="77"/>
      <c r="T36" s="75"/>
      <c r="U36" s="77"/>
    </row>
    <row r="37" spans="1:22" s="4" customFormat="1" ht="18">
      <c r="A37" s="67" t="s">
        <v>34</v>
      </c>
      <c r="B37" s="68" t="s">
        <v>32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7"/>
      <c r="Q37" s="77"/>
      <c r="R37" s="77"/>
      <c r="S37" s="77"/>
      <c r="T37" s="75"/>
      <c r="U37" s="77"/>
    </row>
    <row r="38" spans="1:22" s="4" customFormat="1" ht="18">
      <c r="A38" s="67" t="s">
        <v>28</v>
      </c>
      <c r="B38" s="68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7"/>
      <c r="Q38" s="77"/>
      <c r="R38" s="77"/>
      <c r="S38" s="77"/>
      <c r="T38" s="75"/>
      <c r="U38" s="77"/>
    </row>
    <row r="39" spans="1:22" s="4" customFormat="1" ht="18">
      <c r="A39" s="80" t="s">
        <v>39</v>
      </c>
      <c r="B39" s="81" t="s">
        <v>40</v>
      </c>
      <c r="C39" s="76"/>
      <c r="D39" s="76"/>
      <c r="E39" s="76"/>
      <c r="F39" s="76"/>
      <c r="G39" s="82">
        <f>G40</f>
        <v>135</v>
      </c>
      <c r="H39" s="82">
        <f>H40</f>
        <v>135</v>
      </c>
      <c r="I39" s="82"/>
      <c r="J39" s="77"/>
      <c r="K39" s="77"/>
      <c r="L39" s="77"/>
      <c r="M39" s="77"/>
      <c r="N39" s="77"/>
      <c r="O39" s="77"/>
      <c r="P39" s="82">
        <f>P40</f>
        <v>20</v>
      </c>
      <c r="Q39" s="82">
        <f t="shared" ref="Q39:T39" si="8">Q40</f>
        <v>25</v>
      </c>
      <c r="R39" s="82">
        <f t="shared" si="8"/>
        <v>30</v>
      </c>
      <c r="S39" s="82">
        <f t="shared" si="8"/>
        <v>30</v>
      </c>
      <c r="T39" s="82">
        <f t="shared" si="8"/>
        <v>30</v>
      </c>
      <c r="U39" s="82">
        <f>SUM(P39:T39)</f>
        <v>135</v>
      </c>
    </row>
    <row r="40" spans="1:22" s="4" customFormat="1" ht="45" customHeight="1">
      <c r="A40" s="67" t="s">
        <v>42</v>
      </c>
      <c r="B40" s="68" t="s">
        <v>41</v>
      </c>
      <c r="C40" s="76"/>
      <c r="D40" s="76"/>
      <c r="E40" s="76">
        <v>2020</v>
      </c>
      <c r="F40" s="76">
        <v>2024</v>
      </c>
      <c r="G40" s="77">
        <f>U40</f>
        <v>135</v>
      </c>
      <c r="H40" s="77">
        <f>G40</f>
        <v>135</v>
      </c>
      <c r="I40" s="77"/>
      <c r="J40" s="77"/>
      <c r="K40" s="77"/>
      <c r="L40" s="77"/>
      <c r="M40" s="77"/>
      <c r="N40" s="77"/>
      <c r="O40" s="77"/>
      <c r="P40" s="121">
        <v>20</v>
      </c>
      <c r="Q40" s="121">
        <v>25</v>
      </c>
      <c r="R40" s="121">
        <v>30</v>
      </c>
      <c r="S40" s="121">
        <v>30</v>
      </c>
      <c r="T40" s="121">
        <v>30</v>
      </c>
      <c r="U40" s="82">
        <f>SUM(P40:T40)</f>
        <v>135</v>
      </c>
    </row>
    <row r="41" spans="1:22" s="4" customFormat="1" ht="18">
      <c r="A41" s="67" t="s">
        <v>28</v>
      </c>
      <c r="B41" s="68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7"/>
      <c r="Q41" s="77"/>
      <c r="R41" s="77"/>
      <c r="S41" s="77"/>
      <c r="T41" s="75"/>
      <c r="U41" s="77"/>
    </row>
    <row r="42" spans="1:22" s="4" customFormat="1" ht="57.6" customHeight="1">
      <c r="A42" s="80" t="s">
        <v>34</v>
      </c>
      <c r="B42" s="81" t="s">
        <v>43</v>
      </c>
      <c r="C42" s="76"/>
      <c r="D42" s="107" t="str">
        <f>D43</f>
        <v>66,6 МВА
149,4 км</v>
      </c>
      <c r="E42" s="107"/>
      <c r="F42" s="107"/>
      <c r="G42" s="82">
        <f>G43</f>
        <v>989.69375175656342</v>
      </c>
      <c r="H42" s="82">
        <f>H43</f>
        <v>989.69375175656342</v>
      </c>
      <c r="I42" s="82"/>
      <c r="J42" s="82"/>
      <c r="K42" s="82"/>
      <c r="L42" s="82"/>
      <c r="M42" s="82"/>
      <c r="N42" s="82"/>
      <c r="O42" s="82"/>
      <c r="P42" s="82">
        <f>P43</f>
        <v>329.26758400350002</v>
      </c>
      <c r="Q42" s="82">
        <f t="shared" ref="Q42:T42" si="9">Q43</f>
        <v>255.941838173094</v>
      </c>
      <c r="R42" s="82">
        <f t="shared" si="9"/>
        <v>290.13063803926138</v>
      </c>
      <c r="S42" s="82">
        <f t="shared" si="9"/>
        <v>231.16399324203937</v>
      </c>
      <c r="T42" s="82">
        <f t="shared" si="9"/>
        <v>395.83294603385389</v>
      </c>
      <c r="U42" s="82">
        <f>U43</f>
        <v>1502.3369994917487</v>
      </c>
    </row>
    <row r="43" spans="1:22" s="4" customFormat="1" ht="96" customHeight="1">
      <c r="A43" s="80" t="s">
        <v>44</v>
      </c>
      <c r="B43" s="81" t="s">
        <v>9</v>
      </c>
      <c r="C43" s="76"/>
      <c r="D43" s="127" t="s">
        <v>261</v>
      </c>
      <c r="E43" s="76"/>
      <c r="F43" s="76"/>
      <c r="G43" s="82">
        <f>SUM(G44:G57)</f>
        <v>989.69375175656342</v>
      </c>
      <c r="H43" s="82">
        <f>SUM(H44:H57)</f>
        <v>989.69375175656342</v>
      </c>
      <c r="I43" s="77"/>
      <c r="J43" s="77"/>
      <c r="K43" s="77"/>
      <c r="L43" s="77"/>
      <c r="M43" s="77"/>
      <c r="N43" s="77"/>
      <c r="O43" s="77"/>
      <c r="P43" s="82">
        <f>SUM(P44:P61)</f>
        <v>329.26758400350002</v>
      </c>
      <c r="Q43" s="82">
        <f t="shared" ref="Q43:T43" si="10">SUM(Q44:Q61)</f>
        <v>255.941838173094</v>
      </c>
      <c r="R43" s="82">
        <f t="shared" si="10"/>
        <v>290.13063803926138</v>
      </c>
      <c r="S43" s="82">
        <f t="shared" si="10"/>
        <v>231.16399324203937</v>
      </c>
      <c r="T43" s="82">
        <f t="shared" si="10"/>
        <v>395.83294603385389</v>
      </c>
      <c r="U43" s="82">
        <f>SUM(P43:T43)</f>
        <v>1502.3369994917487</v>
      </c>
    </row>
    <row r="44" spans="1:22" s="4" customFormat="1" ht="112.5" customHeight="1">
      <c r="A44" s="67" t="s">
        <v>45</v>
      </c>
      <c r="B44" s="68" t="s">
        <v>201</v>
      </c>
      <c r="C44" s="69" t="s">
        <v>17</v>
      </c>
      <c r="D44" s="76"/>
      <c r="E44" s="76">
        <v>2020</v>
      </c>
      <c r="F44" s="76">
        <v>2024</v>
      </c>
      <c r="G44" s="77">
        <f>U44</f>
        <v>54.564250356640002</v>
      </c>
      <c r="H44" s="77">
        <f>G44</f>
        <v>54.564250356640002</v>
      </c>
      <c r="I44" s="77"/>
      <c r="J44" s="76"/>
      <c r="K44" s="76"/>
      <c r="L44" s="76"/>
      <c r="M44" s="76"/>
      <c r="N44" s="76"/>
      <c r="O44" s="76"/>
      <c r="P44" s="121">
        <v>10</v>
      </c>
      <c r="Q44" s="121">
        <v>10.440000000000001</v>
      </c>
      <c r="R44" s="121">
        <v>10.899360000000001</v>
      </c>
      <c r="S44" s="121">
        <v>11.36803248</v>
      </c>
      <c r="T44" s="121">
        <v>11.856857876639999</v>
      </c>
      <c r="U44" s="77">
        <f>SUM(P44:T44)</f>
        <v>54.564250356640002</v>
      </c>
    </row>
    <row r="45" spans="1:22" s="4" customFormat="1" ht="99.75" customHeight="1">
      <c r="A45" s="67" t="s">
        <v>47</v>
      </c>
      <c r="B45" s="68" t="s">
        <v>46</v>
      </c>
      <c r="C45" s="69" t="s">
        <v>17</v>
      </c>
      <c r="D45" s="76" t="str">
        <f>O45</f>
        <v>32 МВА
6,3 км</v>
      </c>
      <c r="E45" s="69">
        <v>2015</v>
      </c>
      <c r="F45" s="76">
        <v>2020</v>
      </c>
      <c r="G45" s="77">
        <f t="shared" ref="G45:G57" si="11">U45</f>
        <v>124.04837000000001</v>
      </c>
      <c r="H45" s="77">
        <f t="shared" ref="H45:H57" si="12">G45</f>
        <v>124.04837000000001</v>
      </c>
      <c r="I45" s="75"/>
      <c r="J45" s="76" t="s">
        <v>205</v>
      </c>
      <c r="K45" s="76"/>
      <c r="L45" s="76"/>
      <c r="M45" s="76"/>
      <c r="N45" s="76"/>
      <c r="O45" s="76" t="s">
        <v>205</v>
      </c>
      <c r="P45" s="104">
        <v>124.04837000000001</v>
      </c>
      <c r="Q45" s="104"/>
      <c r="R45" s="104"/>
      <c r="S45" s="104"/>
      <c r="T45" s="104"/>
      <c r="U45" s="77">
        <f t="shared" ref="U45:U51" si="13">SUM(P45:T45)</f>
        <v>124.04837000000001</v>
      </c>
    </row>
    <row r="46" spans="1:22" s="4" customFormat="1" ht="135" customHeight="1">
      <c r="A46" s="67" t="s">
        <v>202</v>
      </c>
      <c r="B46" s="72" t="s">
        <v>52</v>
      </c>
      <c r="C46" s="69" t="s">
        <v>17</v>
      </c>
      <c r="D46" s="76" t="str">
        <f>O46</f>
        <v xml:space="preserve">4 км </v>
      </c>
      <c r="E46" s="69">
        <v>2019</v>
      </c>
      <c r="F46" s="76">
        <v>2021</v>
      </c>
      <c r="G46" s="77">
        <f t="shared" si="11"/>
        <v>21.970736835024002</v>
      </c>
      <c r="H46" s="77">
        <f t="shared" si="12"/>
        <v>21.970736835024002</v>
      </c>
      <c r="I46" s="77"/>
      <c r="J46" s="76" t="s">
        <v>232</v>
      </c>
      <c r="K46" s="76" t="s">
        <v>80</v>
      </c>
      <c r="L46" s="76"/>
      <c r="M46" s="76"/>
      <c r="N46" s="76"/>
      <c r="O46" s="76" t="s">
        <v>231</v>
      </c>
      <c r="P46" s="104">
        <v>14.365922106000003</v>
      </c>
      <c r="Q46" s="121">
        <v>7.6048147290240005</v>
      </c>
      <c r="R46" s="104"/>
      <c r="S46" s="104"/>
      <c r="T46" s="104"/>
      <c r="U46" s="77">
        <f t="shared" si="13"/>
        <v>21.970736835024002</v>
      </c>
    </row>
    <row r="47" spans="1:22" s="4" customFormat="1" ht="93.75" customHeight="1">
      <c r="A47" s="67" t="s">
        <v>48</v>
      </c>
      <c r="B47" s="72" t="s">
        <v>198</v>
      </c>
      <c r="C47" s="76" t="s">
        <v>17</v>
      </c>
      <c r="D47" s="76" t="s">
        <v>237</v>
      </c>
      <c r="E47" s="76">
        <v>2023</v>
      </c>
      <c r="F47" s="76">
        <v>2025</v>
      </c>
      <c r="G47" s="77">
        <f>268.049</f>
        <v>268.04899999999998</v>
      </c>
      <c r="H47" s="77">
        <f>G47</f>
        <v>268.04899999999998</v>
      </c>
      <c r="I47" s="77"/>
      <c r="J47" s="76"/>
      <c r="K47" s="76"/>
      <c r="L47" s="76"/>
      <c r="M47" s="70"/>
      <c r="N47" s="76" t="s">
        <v>236</v>
      </c>
      <c r="O47" s="76" t="s">
        <v>235</v>
      </c>
      <c r="P47" s="119"/>
      <c r="Q47" s="119"/>
      <c r="R47" s="119"/>
      <c r="S47" s="119">
        <v>2.2999999999999998</v>
      </c>
      <c r="T47" s="119">
        <v>141.29645014543789</v>
      </c>
      <c r="U47" s="77">
        <f>SUM(P47:T47)</f>
        <v>143.5964501454379</v>
      </c>
      <c r="V47" s="10"/>
    </row>
    <row r="48" spans="1:22" s="4" customFormat="1" ht="99.6" customHeight="1">
      <c r="A48" s="67" t="s">
        <v>49</v>
      </c>
      <c r="B48" s="68" t="s">
        <v>53</v>
      </c>
      <c r="C48" s="69" t="s">
        <v>17</v>
      </c>
      <c r="D48" s="76" t="str">
        <f>O48</f>
        <v>2 МВА
19,5 км</v>
      </c>
      <c r="E48" s="76">
        <v>2020</v>
      </c>
      <c r="F48" s="76">
        <v>2024</v>
      </c>
      <c r="G48" s="77">
        <f t="shared" si="11"/>
        <v>93.06658962937</v>
      </c>
      <c r="H48" s="77">
        <f t="shared" si="12"/>
        <v>93.06658962937</v>
      </c>
      <c r="I48" s="76"/>
      <c r="J48" s="76" t="s">
        <v>224</v>
      </c>
      <c r="K48" s="76" t="s">
        <v>225</v>
      </c>
      <c r="L48" s="76" t="s">
        <v>226</v>
      </c>
      <c r="M48" s="76" t="s">
        <v>227</v>
      </c>
      <c r="N48" s="75" t="s">
        <v>228</v>
      </c>
      <c r="O48" s="76" t="s">
        <v>260</v>
      </c>
      <c r="P48" s="104">
        <v>13.2268416</v>
      </c>
      <c r="Q48" s="104">
        <v>25.608296806920002</v>
      </c>
      <c r="R48" s="104">
        <v>21.798720000000003</v>
      </c>
      <c r="S48" s="104">
        <v>21.336759336427356</v>
      </c>
      <c r="T48" s="104">
        <v>11.095971886022639</v>
      </c>
      <c r="U48" s="77">
        <f t="shared" si="13"/>
        <v>93.06658962937</v>
      </c>
    </row>
    <row r="49" spans="1:22" s="4" customFormat="1" ht="90.6" customHeight="1">
      <c r="A49" s="67" t="s">
        <v>50</v>
      </c>
      <c r="B49" s="68" t="s">
        <v>203</v>
      </c>
      <c r="C49" s="69" t="s">
        <v>17</v>
      </c>
      <c r="D49" s="76" t="str">
        <f t="shared" ref="D49:D57" si="14">O49</f>
        <v>2 МВА
5,5 км</v>
      </c>
      <c r="E49" s="76">
        <v>2020</v>
      </c>
      <c r="F49" s="76">
        <v>2024</v>
      </c>
      <c r="G49" s="77">
        <f>U49</f>
        <v>22.398458350437139</v>
      </c>
      <c r="H49" s="77">
        <f>G49</f>
        <v>22.398458350437139</v>
      </c>
      <c r="I49" s="79"/>
      <c r="J49" s="76" t="s">
        <v>206</v>
      </c>
      <c r="K49" s="76" t="s">
        <v>206</v>
      </c>
      <c r="L49" s="76" t="s">
        <v>206</v>
      </c>
      <c r="M49" s="76" t="s">
        <v>206</v>
      </c>
      <c r="N49" s="76" t="s">
        <v>206</v>
      </c>
      <c r="O49" s="76" t="s">
        <v>234</v>
      </c>
      <c r="P49" s="119">
        <v>4.104969500000001</v>
      </c>
      <c r="Q49" s="119">
        <v>4.2855881580000013</v>
      </c>
      <c r="R49" s="119">
        <v>4.4741540369520019</v>
      </c>
      <c r="S49" s="104">
        <v>4.6665426605409372</v>
      </c>
      <c r="T49" s="119">
        <v>4.8672039949441972</v>
      </c>
      <c r="U49" s="77">
        <f>SUM(P49:T49)</f>
        <v>22.398458350437139</v>
      </c>
      <c r="V49" s="10"/>
    </row>
    <row r="50" spans="1:22" s="4" customFormat="1" ht="102.6" customHeight="1">
      <c r="A50" s="67" t="s">
        <v>51</v>
      </c>
      <c r="B50" s="68" t="s">
        <v>55</v>
      </c>
      <c r="C50" s="69" t="s">
        <v>17</v>
      </c>
      <c r="D50" s="76" t="str">
        <f t="shared" si="14"/>
        <v>6,3 МВА
17 км</v>
      </c>
      <c r="E50" s="76">
        <v>2020</v>
      </c>
      <c r="F50" s="76">
        <v>2024</v>
      </c>
      <c r="G50" s="77">
        <f t="shared" si="11"/>
        <v>49.077881551665286</v>
      </c>
      <c r="H50" s="77">
        <f t="shared" si="12"/>
        <v>49.077881551665286</v>
      </c>
      <c r="I50" s="76"/>
      <c r="J50" s="76" t="s">
        <v>207</v>
      </c>
      <c r="K50" s="76" t="s">
        <v>207</v>
      </c>
      <c r="L50" s="76" t="s">
        <v>207</v>
      </c>
      <c r="M50" s="76" t="s">
        <v>207</v>
      </c>
      <c r="N50" s="76" t="s">
        <v>207</v>
      </c>
      <c r="O50" s="76" t="s">
        <v>218</v>
      </c>
      <c r="P50" s="119">
        <v>8.9945122000000008</v>
      </c>
      <c r="Q50" s="119">
        <v>9.3902707368000016</v>
      </c>
      <c r="R50" s="119">
        <v>9.8034426492192015</v>
      </c>
      <c r="S50" s="104">
        <v>10.224990683135626</v>
      </c>
      <c r="T50" s="119">
        <v>10.664665282510457</v>
      </c>
      <c r="U50" s="77">
        <f t="shared" si="13"/>
        <v>49.077881551665286</v>
      </c>
    </row>
    <row r="51" spans="1:22" s="4" customFormat="1" ht="93" customHeight="1">
      <c r="A51" s="67" t="s">
        <v>54</v>
      </c>
      <c r="B51" s="68" t="s">
        <v>178</v>
      </c>
      <c r="C51" s="69" t="s">
        <v>17</v>
      </c>
      <c r="D51" s="76" t="str">
        <f t="shared" si="14"/>
        <v>4 МВА
17 км</v>
      </c>
      <c r="E51" s="76">
        <v>2020</v>
      </c>
      <c r="F51" s="76">
        <v>2024</v>
      </c>
      <c r="G51" s="77">
        <f t="shared" si="11"/>
        <v>45.000633420865789</v>
      </c>
      <c r="H51" s="77">
        <f t="shared" si="12"/>
        <v>45.000633420865789</v>
      </c>
      <c r="I51" s="76"/>
      <c r="J51" s="76" t="s">
        <v>200</v>
      </c>
      <c r="K51" s="76" t="s">
        <v>200</v>
      </c>
      <c r="L51" s="76" t="s">
        <v>200</v>
      </c>
      <c r="M51" s="76" t="s">
        <v>200</v>
      </c>
      <c r="N51" s="76" t="s">
        <v>200</v>
      </c>
      <c r="O51" s="76" t="s">
        <v>219</v>
      </c>
      <c r="P51" s="119">
        <v>8.2472742000000014</v>
      </c>
      <c r="Q51" s="119">
        <v>8.610154264800002</v>
      </c>
      <c r="R51" s="119">
        <v>8.9890010524512025</v>
      </c>
      <c r="S51" s="104">
        <v>9.3755280977066029</v>
      </c>
      <c r="T51" s="119">
        <v>9.7786758059079855</v>
      </c>
      <c r="U51" s="77">
        <f t="shared" si="13"/>
        <v>45.000633420865789</v>
      </c>
      <c r="V51" s="10"/>
    </row>
    <row r="52" spans="1:22" s="4" customFormat="1" ht="75" customHeight="1">
      <c r="A52" s="67" t="s">
        <v>58</v>
      </c>
      <c r="B52" s="68" t="s">
        <v>56</v>
      </c>
      <c r="C52" s="69" t="s">
        <v>17</v>
      </c>
      <c r="D52" s="76" t="str">
        <f t="shared" si="14"/>
        <v>4 МВА
17 км</v>
      </c>
      <c r="E52" s="76">
        <v>2020</v>
      </c>
      <c r="F52" s="76">
        <v>2024</v>
      </c>
      <c r="G52" s="77">
        <f>U52</f>
        <v>45.000633420865789</v>
      </c>
      <c r="H52" s="77">
        <f>G52</f>
        <v>45.000633420865789</v>
      </c>
      <c r="I52" s="112"/>
      <c r="J52" s="76" t="s">
        <v>200</v>
      </c>
      <c r="K52" s="76" t="s">
        <v>200</v>
      </c>
      <c r="L52" s="76" t="s">
        <v>200</v>
      </c>
      <c r="M52" s="76" t="s">
        <v>200</v>
      </c>
      <c r="N52" s="76" t="s">
        <v>200</v>
      </c>
      <c r="O52" s="76" t="s">
        <v>219</v>
      </c>
      <c r="P52" s="119">
        <v>8.2472742000000014</v>
      </c>
      <c r="Q52" s="119">
        <v>8.610154264800002</v>
      </c>
      <c r="R52" s="119">
        <v>8.9890010524512025</v>
      </c>
      <c r="S52" s="104">
        <v>9.3755280977066029</v>
      </c>
      <c r="T52" s="119">
        <v>9.7786758059079855</v>
      </c>
      <c r="U52" s="77">
        <f>SUM(P52:T52)</f>
        <v>45.000633420865789</v>
      </c>
      <c r="V52" s="10"/>
    </row>
    <row r="53" spans="1:22" s="4" customFormat="1" ht="75" customHeight="1">
      <c r="A53" s="67" t="s">
        <v>59</v>
      </c>
      <c r="B53" s="68" t="s">
        <v>57</v>
      </c>
      <c r="C53" s="69" t="s">
        <v>17</v>
      </c>
      <c r="D53" s="76" t="str">
        <f t="shared" si="14"/>
        <v>2 МВА
12,5 км</v>
      </c>
      <c r="E53" s="76">
        <v>2020</v>
      </c>
      <c r="F53" s="76">
        <v>2024</v>
      </c>
      <c r="G53" s="77">
        <f t="shared" si="11"/>
        <v>33.856950925331539</v>
      </c>
      <c r="H53" s="77">
        <f t="shared" si="12"/>
        <v>33.856950925331539</v>
      </c>
      <c r="I53" s="83"/>
      <c r="J53" s="76" t="s">
        <v>208</v>
      </c>
      <c r="K53" s="76" t="s">
        <v>208</v>
      </c>
      <c r="L53" s="76" t="s">
        <v>208</v>
      </c>
      <c r="M53" s="76" t="s">
        <v>208</v>
      </c>
      <c r="N53" s="76" t="s">
        <v>208</v>
      </c>
      <c r="O53" s="76" t="s">
        <v>222</v>
      </c>
      <c r="P53" s="119">
        <v>6.2049695000000007</v>
      </c>
      <c r="Q53" s="119">
        <v>6.4779881580000014</v>
      </c>
      <c r="R53" s="119">
        <v>6.7630196369520013</v>
      </c>
      <c r="S53" s="104">
        <v>7.0538294813409372</v>
      </c>
      <c r="T53" s="119">
        <v>7.3571441490385974</v>
      </c>
      <c r="U53" s="77">
        <f t="shared" ref="U53:U55" si="15">SUM(P53:T53)</f>
        <v>33.856950925331539</v>
      </c>
      <c r="V53" s="10"/>
    </row>
    <row r="54" spans="1:22" s="4" customFormat="1" ht="73.8" customHeight="1">
      <c r="A54" s="67" t="s">
        <v>61</v>
      </c>
      <c r="B54" s="68" t="s">
        <v>60</v>
      </c>
      <c r="C54" s="69" t="s">
        <v>17</v>
      </c>
      <c r="D54" s="76" t="str">
        <f t="shared" si="14"/>
        <v>6,3 МВА
11 км</v>
      </c>
      <c r="E54" s="76">
        <v>2020</v>
      </c>
      <c r="F54" s="76">
        <v>2024</v>
      </c>
      <c r="G54" s="77">
        <f t="shared" si="11"/>
        <v>59.079170398249445</v>
      </c>
      <c r="H54" s="77">
        <f t="shared" si="12"/>
        <v>59.079170398249445</v>
      </c>
      <c r="I54" s="76"/>
      <c r="J54" s="76" t="s">
        <v>209</v>
      </c>
      <c r="K54" s="76" t="s">
        <v>209</v>
      </c>
      <c r="L54" s="76" t="s">
        <v>209</v>
      </c>
      <c r="M54" s="76" t="s">
        <v>209</v>
      </c>
      <c r="N54" s="76" t="s">
        <v>209</v>
      </c>
      <c r="O54" s="76" t="s">
        <v>217</v>
      </c>
      <c r="P54" s="119">
        <v>10.827450210000002</v>
      </c>
      <c r="Q54" s="119">
        <v>11.303858019240003</v>
      </c>
      <c r="R54" s="119">
        <v>11.801227772086564</v>
      </c>
      <c r="S54" s="104">
        <v>12.308680566286286</v>
      </c>
      <c r="T54" s="119">
        <v>12.837953830636595</v>
      </c>
      <c r="U54" s="77">
        <f t="shared" si="15"/>
        <v>59.079170398249445</v>
      </c>
      <c r="V54" s="10"/>
    </row>
    <row r="55" spans="1:22" s="4" customFormat="1" ht="57" customHeight="1">
      <c r="A55" s="67" t="s">
        <v>62</v>
      </c>
      <c r="B55" s="68" t="s">
        <v>204</v>
      </c>
      <c r="C55" s="69" t="s">
        <v>17</v>
      </c>
      <c r="D55" s="76" t="str">
        <f t="shared" si="14"/>
        <v>19,8 км</v>
      </c>
      <c r="E55" s="76">
        <v>2020</v>
      </c>
      <c r="F55" s="76">
        <v>2022</v>
      </c>
      <c r="G55" s="77">
        <f t="shared" ref="G55" si="16">U55</f>
        <v>120.3154245195141</v>
      </c>
      <c r="H55" s="77">
        <f t="shared" si="12"/>
        <v>120.3154245195141</v>
      </c>
      <c r="I55" s="76"/>
      <c r="J55" s="76"/>
      <c r="K55" s="76"/>
      <c r="L55" s="76" t="s">
        <v>238</v>
      </c>
      <c r="M55" s="76"/>
      <c r="N55" s="70"/>
      <c r="O55" s="76" t="s">
        <v>238</v>
      </c>
      <c r="P55" s="119">
        <v>1</v>
      </c>
      <c r="Q55" s="119">
        <v>40.010712718680004</v>
      </c>
      <c r="R55" s="119">
        <v>79.304711800834085</v>
      </c>
      <c r="S55" s="119"/>
      <c r="T55" s="119"/>
      <c r="U55" s="77">
        <f t="shared" si="15"/>
        <v>120.3154245195141</v>
      </c>
      <c r="V55" s="10"/>
    </row>
    <row r="56" spans="1:22" s="4" customFormat="1" ht="87" customHeight="1">
      <c r="A56" s="67" t="s">
        <v>63</v>
      </c>
      <c r="B56" s="72" t="s">
        <v>196</v>
      </c>
      <c r="C56" s="69" t="s">
        <v>17</v>
      </c>
      <c r="D56" s="76" t="str">
        <f t="shared" si="14"/>
        <v xml:space="preserve">2 км </v>
      </c>
      <c r="E56" s="69">
        <v>2023</v>
      </c>
      <c r="F56" s="69">
        <v>2024</v>
      </c>
      <c r="G56" s="77">
        <f t="shared" si="11"/>
        <v>13.766677529732016</v>
      </c>
      <c r="H56" s="77">
        <f t="shared" si="12"/>
        <v>13.766677529732016</v>
      </c>
      <c r="I56" s="77"/>
      <c r="J56" s="76"/>
      <c r="K56" s="76"/>
      <c r="L56" s="76"/>
      <c r="M56" s="70"/>
      <c r="N56" s="76" t="s">
        <v>78</v>
      </c>
      <c r="O56" s="76" t="s">
        <v>233</v>
      </c>
      <c r="P56" s="119"/>
      <c r="Q56" s="119"/>
      <c r="R56" s="119"/>
      <c r="S56" s="119">
        <v>0.52392300000000003</v>
      </c>
      <c r="T56" s="119">
        <v>13.242754529732016</v>
      </c>
      <c r="U56" s="77">
        <f>SUM(P56:T56)</f>
        <v>13.766677529732016</v>
      </c>
      <c r="V56" s="10"/>
    </row>
    <row r="57" spans="1:22" s="4" customFormat="1" ht="64.2" customHeight="1">
      <c r="A57" s="67" t="s">
        <v>64</v>
      </c>
      <c r="B57" s="72" t="s">
        <v>197</v>
      </c>
      <c r="C57" s="76" t="s">
        <v>17</v>
      </c>
      <c r="D57" s="76" t="str">
        <f t="shared" si="14"/>
        <v>РП-6кВ
14 ячеек</v>
      </c>
      <c r="E57" s="69">
        <v>2023</v>
      </c>
      <c r="F57" s="69">
        <v>2024</v>
      </c>
      <c r="G57" s="77">
        <f t="shared" si="11"/>
        <v>39.498974818868291</v>
      </c>
      <c r="H57" s="77">
        <f t="shared" si="12"/>
        <v>39.498974818868291</v>
      </c>
      <c r="I57" s="77"/>
      <c r="J57" s="76"/>
      <c r="K57" s="76"/>
      <c r="L57" s="76"/>
      <c r="M57" s="70"/>
      <c r="N57" s="76" t="s">
        <v>210</v>
      </c>
      <c r="O57" s="76" t="s">
        <v>210</v>
      </c>
      <c r="P57" s="119"/>
      <c r="Q57" s="119"/>
      <c r="R57" s="119"/>
      <c r="S57" s="119">
        <v>11.503438933754477</v>
      </c>
      <c r="T57" s="119">
        <v>27.99553588511381</v>
      </c>
      <c r="U57" s="77">
        <f>SUM(P57:T57)</f>
        <v>39.498974818868291</v>
      </c>
      <c r="V57" s="10"/>
    </row>
    <row r="58" spans="1:22" s="4" customFormat="1" ht="79.95" customHeight="1">
      <c r="A58" s="67" t="s">
        <v>264</v>
      </c>
      <c r="B58" s="68" t="s">
        <v>268</v>
      </c>
      <c r="C58" s="69" t="s">
        <v>17</v>
      </c>
      <c r="D58" s="76" t="str">
        <f>O58</f>
        <v>12,6 МВА
0,5 км</v>
      </c>
      <c r="E58" s="69">
        <v>2020</v>
      </c>
      <c r="F58" s="76">
        <v>2023</v>
      </c>
      <c r="G58" s="77">
        <f t="shared" ref="G58:G59" si="17">U58</f>
        <v>212.79558618350882</v>
      </c>
      <c r="H58" s="77">
        <f t="shared" ref="H58:H59" si="18">G58</f>
        <v>212.79558618350882</v>
      </c>
      <c r="I58" s="75"/>
      <c r="J58" s="76"/>
      <c r="K58" s="76"/>
      <c r="L58" s="76"/>
      <c r="M58" s="76" t="s">
        <v>269</v>
      </c>
      <c r="N58" s="76"/>
      <c r="O58" s="76" t="str">
        <f>M58</f>
        <v>12,6 МВА
0,5 км</v>
      </c>
      <c r="P58" s="104">
        <v>4.3068558125000003</v>
      </c>
      <c r="Q58" s="104">
        <v>46.769577710129994</v>
      </c>
      <c r="R58" s="104">
        <v>82.236259018833849</v>
      </c>
      <c r="S58" s="104">
        <v>79.482893642044985</v>
      </c>
      <c r="T58" s="104"/>
      <c r="U58" s="77">
        <f>P58+Q58+R58+S58+T58</f>
        <v>212.79558618350882</v>
      </c>
      <c r="V58" s="10"/>
    </row>
    <row r="59" spans="1:22" s="4" customFormat="1" ht="85.05" customHeight="1">
      <c r="A59" s="67" t="s">
        <v>265</v>
      </c>
      <c r="B59" s="68" t="s">
        <v>275</v>
      </c>
      <c r="C59" s="69" t="s">
        <v>17</v>
      </c>
      <c r="D59" s="76" t="str">
        <f>O59</f>
        <v>10,1 МВА
18,5 км</v>
      </c>
      <c r="E59" s="69">
        <v>2020</v>
      </c>
      <c r="F59" s="76">
        <v>2024</v>
      </c>
      <c r="G59" s="77">
        <f t="shared" si="17"/>
        <v>179.72918252132638</v>
      </c>
      <c r="H59" s="77">
        <f t="shared" si="18"/>
        <v>179.72918252132638</v>
      </c>
      <c r="I59" s="77"/>
      <c r="J59" s="76" t="s">
        <v>276</v>
      </c>
      <c r="K59" s="76" t="s">
        <v>277</v>
      </c>
      <c r="L59" s="76" t="s">
        <v>278</v>
      </c>
      <c r="M59" s="76" t="s">
        <v>279</v>
      </c>
      <c r="N59" s="76" t="s">
        <v>280</v>
      </c>
      <c r="O59" s="76" t="s">
        <v>281</v>
      </c>
      <c r="P59" s="104">
        <v>65.404349124999996</v>
      </c>
      <c r="Q59" s="104">
        <v>24.267128152499996</v>
      </c>
      <c r="R59" s="104">
        <v>6.4267428545532006</v>
      </c>
      <c r="S59" s="104">
        <v>21.005367445684087</v>
      </c>
      <c r="T59" s="104">
        <v>62.6255949435891</v>
      </c>
      <c r="U59" s="77">
        <f>P59+Q59+R59+S59+T59</f>
        <v>179.72918252132638</v>
      </c>
      <c r="V59" s="10"/>
    </row>
    <row r="60" spans="1:22" s="4" customFormat="1" ht="120" customHeight="1">
      <c r="A60" s="67" t="s">
        <v>266</v>
      </c>
      <c r="B60" s="68" t="s">
        <v>271</v>
      </c>
      <c r="C60" s="69" t="s">
        <v>17</v>
      </c>
      <c r="D60" s="76" t="str">
        <f>O60</f>
        <v>4,1 МВА
5,2 км</v>
      </c>
      <c r="E60" s="69">
        <v>2020</v>
      </c>
      <c r="F60" s="76">
        <v>2024</v>
      </c>
      <c r="G60" s="77">
        <f t="shared" ref="G60:G61" si="19">U60</f>
        <v>160.50386019775669</v>
      </c>
      <c r="H60" s="77">
        <f t="shared" ref="H60:H61" si="20">G60</f>
        <v>160.50386019775669</v>
      </c>
      <c r="I60" s="75"/>
      <c r="J60" s="76"/>
      <c r="K60" s="76" t="s">
        <v>270</v>
      </c>
      <c r="L60" s="76" t="s">
        <v>272</v>
      </c>
      <c r="M60" s="76" t="s">
        <v>273</v>
      </c>
      <c r="N60" s="76" t="s">
        <v>272</v>
      </c>
      <c r="O60" s="76" t="s">
        <v>274</v>
      </c>
      <c r="P60" s="104">
        <v>39.01664555</v>
      </c>
      <c r="Q60" s="104">
        <v>32.613537454199999</v>
      </c>
      <c r="R60" s="104">
        <v>25.40143559692811</v>
      </c>
      <c r="S60" s="104">
        <v>14.75631651403544</v>
      </c>
      <c r="T60" s="104">
        <v>48.715925082593152</v>
      </c>
      <c r="U60" s="77">
        <f>P60+Q60+R60+S60+T60</f>
        <v>160.50386019775669</v>
      </c>
      <c r="V60" s="10"/>
    </row>
    <row r="61" spans="1:22" s="4" customFormat="1" ht="136.80000000000001" customHeight="1">
      <c r="A61" s="67" t="s">
        <v>267</v>
      </c>
      <c r="B61" s="68" t="s">
        <v>288</v>
      </c>
      <c r="C61" s="69" t="s">
        <v>17</v>
      </c>
      <c r="D61" s="76" t="str">
        <f>O61</f>
        <v>4,11 МВА
17,9 км</v>
      </c>
      <c r="E61" s="69">
        <v>2020</v>
      </c>
      <c r="F61" s="76">
        <v>2024</v>
      </c>
      <c r="G61" s="77">
        <f t="shared" si="19"/>
        <v>84.067168687155473</v>
      </c>
      <c r="H61" s="77">
        <f t="shared" si="20"/>
        <v>84.067168687155473</v>
      </c>
      <c r="I61" s="77"/>
      <c r="J61" s="76" t="s">
        <v>283</v>
      </c>
      <c r="K61" s="76" t="s">
        <v>282</v>
      </c>
      <c r="L61" s="76" t="s">
        <v>285</v>
      </c>
      <c r="M61" s="76" t="s">
        <v>284</v>
      </c>
      <c r="N61" s="76" t="s">
        <v>286</v>
      </c>
      <c r="O61" s="76" t="s">
        <v>287</v>
      </c>
      <c r="P61" s="104">
        <v>11.27215</v>
      </c>
      <c r="Q61" s="104">
        <v>19.949757000000002</v>
      </c>
      <c r="R61" s="104">
        <v>13.243562568000002</v>
      </c>
      <c r="S61" s="104">
        <v>15.882162303376001</v>
      </c>
      <c r="T61" s="104">
        <v>23.71953681577947</v>
      </c>
      <c r="U61" s="77">
        <f>P61+Q61+R61+S61+T61</f>
        <v>84.067168687155473</v>
      </c>
      <c r="V61" s="10"/>
    </row>
    <row r="62" spans="1:22" s="4" customFormat="1" ht="18">
      <c r="A62" s="67" t="s">
        <v>28</v>
      </c>
      <c r="B62" s="68"/>
      <c r="C62" s="76"/>
      <c r="D62" s="76"/>
      <c r="E62" s="76"/>
      <c r="F62" s="76"/>
      <c r="G62" s="76"/>
      <c r="H62" s="76"/>
      <c r="I62" s="76"/>
      <c r="J62" s="76"/>
      <c r="K62" s="77"/>
      <c r="L62" s="77"/>
      <c r="M62" s="77"/>
      <c r="N62" s="77"/>
      <c r="O62" s="76"/>
      <c r="P62" s="104"/>
      <c r="Q62" s="104"/>
      <c r="R62" s="104"/>
      <c r="S62" s="104"/>
      <c r="T62" s="104"/>
      <c r="U62" s="104"/>
      <c r="V62" s="10"/>
    </row>
    <row r="63" spans="1:22" s="4" customFormat="1" ht="34.799999999999997">
      <c r="A63" s="85" t="s">
        <v>65</v>
      </c>
      <c r="B63" s="107" t="s">
        <v>66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119"/>
      <c r="Q63" s="119"/>
      <c r="R63" s="119"/>
      <c r="S63" s="119"/>
      <c r="T63" s="119"/>
      <c r="U63" s="77"/>
      <c r="V63" s="10"/>
    </row>
    <row r="64" spans="1:22" s="4" customFormat="1" ht="18">
      <c r="A64" s="84" t="s">
        <v>33</v>
      </c>
      <c r="B64" s="68" t="s">
        <v>31</v>
      </c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119"/>
      <c r="Q64" s="119"/>
      <c r="R64" s="119"/>
      <c r="S64" s="119"/>
      <c r="T64" s="119"/>
      <c r="U64" s="77"/>
      <c r="V64" s="10"/>
    </row>
    <row r="65" spans="1:22" s="4" customFormat="1" ht="18">
      <c r="A65" s="84"/>
      <c r="B65" s="68" t="s">
        <v>67</v>
      </c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119"/>
      <c r="Q65" s="119"/>
      <c r="R65" s="119"/>
      <c r="S65" s="119"/>
      <c r="T65" s="119"/>
      <c r="U65" s="77"/>
      <c r="V65" s="10"/>
    </row>
    <row r="66" spans="1:22" s="4" customFormat="1" ht="18">
      <c r="A66" s="84" t="s">
        <v>34</v>
      </c>
      <c r="B66" s="68" t="s">
        <v>32</v>
      </c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119"/>
      <c r="Q66" s="119"/>
      <c r="R66" s="119"/>
      <c r="S66" s="119"/>
      <c r="T66" s="119"/>
      <c r="U66" s="77"/>
      <c r="V66" s="10"/>
    </row>
    <row r="67" spans="1:22" s="4" customFormat="1" ht="18">
      <c r="A67" s="84"/>
      <c r="B67" s="68" t="s">
        <v>67</v>
      </c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7"/>
      <c r="Q67" s="77"/>
      <c r="R67" s="77"/>
      <c r="S67" s="77"/>
      <c r="T67" s="75"/>
      <c r="U67" s="77"/>
      <c r="V67" s="10"/>
    </row>
    <row r="68" spans="1:22" s="4" customFormat="1" ht="18">
      <c r="A68" s="67" t="s">
        <v>28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7"/>
      <c r="Q68" s="77"/>
      <c r="R68" s="77"/>
      <c r="S68" s="77"/>
      <c r="T68" s="75"/>
      <c r="U68" s="77"/>
      <c r="V68" s="10"/>
    </row>
    <row r="69" spans="1:22" s="4" customFormat="1" ht="18">
      <c r="A69" s="132" t="s">
        <v>68</v>
      </c>
      <c r="B69" s="132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7"/>
      <c r="Q69" s="77"/>
      <c r="R69" s="77"/>
      <c r="S69" s="77"/>
      <c r="T69" s="75"/>
      <c r="U69" s="77"/>
      <c r="V69" s="10"/>
    </row>
    <row r="70" spans="1:22" s="4" customFormat="1" ht="52.2">
      <c r="A70" s="84"/>
      <c r="B70" s="107" t="s">
        <v>69</v>
      </c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7"/>
      <c r="Q70" s="77"/>
      <c r="R70" s="77"/>
      <c r="S70" s="77"/>
      <c r="T70" s="122"/>
      <c r="U70" s="77"/>
      <c r="V70" s="10"/>
    </row>
    <row r="71" spans="1:22" s="4" customFormat="1" ht="18">
      <c r="A71" s="67" t="s">
        <v>33</v>
      </c>
      <c r="B71" s="68" t="s">
        <v>31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7"/>
      <c r="Q71" s="77"/>
      <c r="R71" s="77"/>
      <c r="S71" s="77"/>
      <c r="T71" s="75"/>
      <c r="U71" s="77"/>
      <c r="V71" s="10"/>
    </row>
    <row r="72" spans="1:22" s="4" customFormat="1" ht="18">
      <c r="A72" s="67" t="s">
        <v>34</v>
      </c>
      <c r="B72" s="68" t="s">
        <v>32</v>
      </c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7"/>
      <c r="Q72" s="77"/>
      <c r="R72" s="77"/>
      <c r="S72" s="77"/>
      <c r="T72" s="75"/>
      <c r="U72" s="77"/>
      <c r="V72" s="10"/>
    </row>
    <row r="73" spans="1:22" s="4" customFormat="1" ht="18">
      <c r="A73" s="67" t="s">
        <v>28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7"/>
      <c r="Q73" s="77"/>
      <c r="R73" s="77"/>
      <c r="S73" s="77"/>
      <c r="T73" s="75"/>
      <c r="U73" s="77"/>
      <c r="V73" s="10"/>
    </row>
    <row r="74" spans="1:22" s="4" customFormat="1">
      <c r="A74" s="114"/>
      <c r="B74" s="115"/>
      <c r="C74" s="115"/>
      <c r="D74" s="115"/>
      <c r="E74" s="115"/>
      <c r="F74" s="14"/>
      <c r="G74" s="14"/>
      <c r="H74" s="14"/>
      <c r="I74" s="14"/>
      <c r="J74" s="14"/>
      <c r="K74" s="14"/>
      <c r="L74" s="14"/>
      <c r="M74" s="14"/>
      <c r="N74" s="14"/>
      <c r="O74" s="116"/>
      <c r="P74" s="116"/>
      <c r="Q74" s="116"/>
      <c r="R74" s="116"/>
      <c r="S74" s="117"/>
      <c r="T74" s="118"/>
      <c r="U74" s="14"/>
      <c r="V74" s="10"/>
    </row>
    <row r="75" spans="1:22" s="4" customFormat="1" ht="23.4">
      <c r="A75" s="44" t="s">
        <v>71</v>
      </c>
      <c r="B75" s="5" t="s">
        <v>70</v>
      </c>
      <c r="C75" s="5"/>
      <c r="D75" s="5"/>
      <c r="E75" s="5"/>
      <c r="O75" s="19"/>
      <c r="P75" s="19"/>
      <c r="Q75" s="19"/>
      <c r="R75" s="19"/>
      <c r="S75" s="20"/>
      <c r="T75" s="29"/>
    </row>
    <row r="76" spans="1:22" s="4" customFormat="1" ht="15.6">
      <c r="A76" s="44" t="s">
        <v>72</v>
      </c>
      <c r="B76" s="5" t="s">
        <v>74</v>
      </c>
      <c r="C76" s="5"/>
      <c r="D76" s="5"/>
      <c r="E76" s="5"/>
      <c r="T76" s="29"/>
    </row>
    <row r="77" spans="1:22" s="4" customFormat="1" ht="15.6">
      <c r="A77" s="18" t="s">
        <v>73</v>
      </c>
      <c r="B77" s="5" t="s">
        <v>75</v>
      </c>
      <c r="C77" s="5"/>
      <c r="D77" s="5"/>
      <c r="E77" s="5"/>
      <c r="T77" s="29"/>
    </row>
    <row r="78" spans="1:22" s="4" customFormat="1" ht="15.6">
      <c r="A78" s="18" t="s">
        <v>77</v>
      </c>
      <c r="B78" s="5" t="s">
        <v>76</v>
      </c>
      <c r="C78" s="5"/>
      <c r="D78" s="5"/>
      <c r="E78" s="5"/>
      <c r="T78" s="29"/>
    </row>
    <row r="79" spans="1:22" s="4" customFormat="1" ht="15.6">
      <c r="A79" s="18"/>
      <c r="B79" s="5"/>
      <c r="C79" s="5"/>
      <c r="D79" s="5"/>
      <c r="E79" s="5"/>
      <c r="T79" s="29"/>
    </row>
    <row r="80" spans="1:22" s="4" customFormat="1" ht="15.6">
      <c r="A80" s="18"/>
      <c r="B80" s="5" t="s">
        <v>174</v>
      </c>
      <c r="C80" s="5"/>
      <c r="D80" s="5"/>
      <c r="E80" s="5"/>
      <c r="T80" s="29"/>
    </row>
  </sheetData>
  <mergeCells count="21">
    <mergeCell ref="S7:U7"/>
    <mergeCell ref="S1:U1"/>
    <mergeCell ref="S2:U2"/>
    <mergeCell ref="S3:U3"/>
    <mergeCell ref="S4:U4"/>
    <mergeCell ref="S5:U5"/>
    <mergeCell ref="A69:B69"/>
    <mergeCell ref="B13:B14"/>
    <mergeCell ref="A13:A14"/>
    <mergeCell ref="J13:O13"/>
    <mergeCell ref="I13:I14"/>
    <mergeCell ref="H13:H14"/>
    <mergeCell ref="G13:G14"/>
    <mergeCell ref="F13:F14"/>
    <mergeCell ref="E13:E14"/>
    <mergeCell ref="R8:U8"/>
    <mergeCell ref="A10:U10"/>
    <mergeCell ref="A11:U11"/>
    <mergeCell ref="D13:D14"/>
    <mergeCell ref="C13:C14"/>
    <mergeCell ref="P13:U13"/>
  </mergeCells>
  <printOptions horizontalCentered="1"/>
  <pageMargins left="0.19685039370078741" right="0.19685039370078741" top="0.39370078740157483" bottom="0.19685039370078741" header="0" footer="0"/>
  <pageSetup paperSize="9" scale="45" fitToHeight="7" orientation="landscape" verticalDpi="180" r:id="rId1"/>
  <rowBreaks count="2" manualBreakCount="2">
    <brk id="33" max="20" man="1"/>
    <brk id="5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81"/>
  <sheetViews>
    <sheetView zoomScale="40" zoomScaleNormal="40" zoomScaleSheetLayoutView="30" workbookViewId="0">
      <selection activeCell="AG4" sqref="AG4:AI4"/>
    </sheetView>
  </sheetViews>
  <sheetFormatPr defaultRowHeight="15.6"/>
  <cols>
    <col min="1" max="1" width="15" style="18" customWidth="1"/>
    <col min="2" max="2" width="48.33203125" style="4" customWidth="1"/>
    <col min="3" max="7" width="7.109375" style="4" bestFit="1" customWidth="1"/>
    <col min="8" max="8" width="8.6640625" style="4" bestFit="1" customWidth="1"/>
    <col min="9" max="13" width="7.109375" style="4" bestFit="1" customWidth="1"/>
    <col min="14" max="14" width="8.6640625" style="4" bestFit="1" customWidth="1"/>
    <col min="15" max="15" width="15.6640625" style="4" customWidth="1"/>
    <col min="16" max="19" width="5.44140625" style="4" customWidth="1"/>
    <col min="20" max="20" width="12.6640625" style="4" customWidth="1"/>
    <col min="21" max="22" width="13.88671875" style="4" customWidth="1"/>
    <col min="23" max="23" width="14" style="4" customWidth="1"/>
    <col min="24" max="24" width="13.88671875" style="5" customWidth="1"/>
    <col min="25" max="25" width="13.5546875" style="5" customWidth="1"/>
    <col min="26" max="27" width="5.6640625" style="5" customWidth="1"/>
    <col min="28" max="29" width="5.6640625" style="6" customWidth="1"/>
    <col min="30" max="30" width="11.33203125" style="6" customWidth="1"/>
    <col min="31" max="31" width="13.88671875" style="6" customWidth="1"/>
    <col min="32" max="33" width="13.88671875" style="4" customWidth="1"/>
    <col min="34" max="34" width="13.88671875" style="29" customWidth="1"/>
    <col min="35" max="35" width="16" style="4" customWidth="1"/>
  </cols>
  <sheetData>
    <row r="1" spans="1:35" ht="45.75" customHeight="1">
      <c r="V1" s="11"/>
      <c r="W1" s="11"/>
      <c r="AE1" s="4"/>
      <c r="AG1" s="135" t="s">
        <v>81</v>
      </c>
      <c r="AH1" s="135"/>
      <c r="AI1" s="135"/>
    </row>
    <row r="2" spans="1:35" ht="18">
      <c r="V2" s="12"/>
      <c r="W2" s="12"/>
      <c r="AE2" s="4"/>
      <c r="AG2" s="136" t="s">
        <v>12</v>
      </c>
      <c r="AH2" s="136"/>
      <c r="AI2" s="136"/>
    </row>
    <row r="3" spans="1:35" ht="18">
      <c r="V3" s="12"/>
      <c r="W3" s="12"/>
      <c r="AE3" s="4"/>
      <c r="AG3" s="136" t="s">
        <v>292</v>
      </c>
      <c r="AH3" s="136"/>
      <c r="AI3" s="136"/>
    </row>
    <row r="4" spans="1:35" ht="18.75" customHeight="1">
      <c r="V4" s="13"/>
      <c r="W4" s="13"/>
      <c r="AE4" s="4"/>
      <c r="AG4" s="137" t="s">
        <v>176</v>
      </c>
      <c r="AH4" s="137"/>
      <c r="AI4" s="137"/>
    </row>
    <row r="5" spans="1:35" ht="18">
      <c r="V5" s="14"/>
      <c r="W5" s="14"/>
      <c r="AE5" s="4"/>
      <c r="AG5" s="138" t="s">
        <v>256</v>
      </c>
      <c r="AH5" s="138"/>
      <c r="AI5" s="138"/>
    </row>
    <row r="6" spans="1:35" ht="18">
      <c r="V6" s="10"/>
      <c r="W6" s="10"/>
      <c r="AE6" s="4"/>
      <c r="AG6" s="59"/>
      <c r="AH6" s="101"/>
      <c r="AI6" s="60"/>
    </row>
    <row r="7" spans="1:35" ht="18">
      <c r="V7" s="15"/>
      <c r="W7" s="15"/>
      <c r="AE7" s="4"/>
      <c r="AG7" s="133" t="s">
        <v>13</v>
      </c>
      <c r="AH7" s="133"/>
      <c r="AI7" s="134"/>
    </row>
    <row r="8" spans="1:35" ht="18">
      <c r="V8" s="16"/>
      <c r="W8" s="16"/>
      <c r="AE8" s="58"/>
      <c r="AF8" s="129" t="s">
        <v>257</v>
      </c>
      <c r="AG8" s="129"/>
      <c r="AH8" s="129"/>
      <c r="AI8" s="129"/>
    </row>
    <row r="9" spans="1:35" ht="18">
      <c r="V9" s="17"/>
      <c r="W9" s="17"/>
      <c r="AE9" s="4"/>
      <c r="AG9" s="59"/>
      <c r="AH9" s="102"/>
      <c r="AI9" s="61" t="s">
        <v>14</v>
      </c>
    </row>
    <row r="10" spans="1:35" ht="22.8">
      <c r="A10" s="130" t="s">
        <v>258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</row>
    <row r="11" spans="1:35" ht="22.8">
      <c r="A11" s="130" t="s">
        <v>240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42" t="s">
        <v>0</v>
      </c>
      <c r="B13" s="142" t="s">
        <v>82</v>
      </c>
      <c r="C13" s="148" t="s">
        <v>83</v>
      </c>
      <c r="D13" s="149"/>
      <c r="E13" s="149"/>
      <c r="F13" s="149"/>
      <c r="G13" s="149"/>
      <c r="H13" s="149"/>
      <c r="I13" s="131" t="s">
        <v>86</v>
      </c>
      <c r="J13" s="131"/>
      <c r="K13" s="131"/>
      <c r="L13" s="131"/>
      <c r="M13" s="131"/>
      <c r="N13" s="131"/>
      <c r="O13" s="145" t="s">
        <v>241</v>
      </c>
      <c r="P13" s="131" t="s">
        <v>88</v>
      </c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</row>
    <row r="14" spans="1:35" ht="83.4" customHeight="1">
      <c r="A14" s="143"/>
      <c r="B14" s="143"/>
      <c r="C14" s="150"/>
      <c r="D14" s="151"/>
      <c r="E14" s="151"/>
      <c r="F14" s="151"/>
      <c r="G14" s="151"/>
      <c r="H14" s="151"/>
      <c r="I14" s="131"/>
      <c r="J14" s="131"/>
      <c r="K14" s="131"/>
      <c r="L14" s="131"/>
      <c r="M14" s="131"/>
      <c r="N14" s="131"/>
      <c r="O14" s="146"/>
      <c r="P14" s="131" t="s">
        <v>242</v>
      </c>
      <c r="Q14" s="131"/>
      <c r="R14" s="131"/>
      <c r="S14" s="131"/>
      <c r="T14" s="131"/>
      <c r="U14" s="131" t="s">
        <v>243</v>
      </c>
      <c r="V14" s="131" t="s">
        <v>244</v>
      </c>
      <c r="W14" s="131" t="s">
        <v>245</v>
      </c>
      <c r="X14" s="131" t="s">
        <v>246</v>
      </c>
      <c r="Y14" s="140" t="s">
        <v>85</v>
      </c>
      <c r="Z14" s="131" t="s">
        <v>242</v>
      </c>
      <c r="AA14" s="131"/>
      <c r="AB14" s="131"/>
      <c r="AC14" s="131"/>
      <c r="AD14" s="131"/>
      <c r="AE14" s="131" t="s">
        <v>243</v>
      </c>
      <c r="AF14" s="131" t="s">
        <v>244</v>
      </c>
      <c r="AG14" s="131" t="s">
        <v>245</v>
      </c>
      <c r="AH14" s="131" t="s">
        <v>246</v>
      </c>
      <c r="AI14" s="139" t="s">
        <v>85</v>
      </c>
    </row>
    <row r="15" spans="1:35" ht="64.2" customHeight="1">
      <c r="A15" s="144"/>
      <c r="B15" s="144"/>
      <c r="C15" s="131" t="s">
        <v>84</v>
      </c>
      <c r="D15" s="131"/>
      <c r="E15" s="131"/>
      <c r="F15" s="131"/>
      <c r="G15" s="131"/>
      <c r="H15" s="141"/>
      <c r="I15" s="131" t="s">
        <v>84</v>
      </c>
      <c r="J15" s="131"/>
      <c r="K15" s="131"/>
      <c r="L15" s="131"/>
      <c r="M15" s="131"/>
      <c r="N15" s="131"/>
      <c r="O15" s="147"/>
      <c r="P15" s="107" t="s">
        <v>89</v>
      </c>
      <c r="Q15" s="107" t="s">
        <v>90</v>
      </c>
      <c r="R15" s="107" t="s">
        <v>91</v>
      </c>
      <c r="S15" s="107" t="s">
        <v>92</v>
      </c>
      <c r="T15" s="109" t="s">
        <v>85</v>
      </c>
      <c r="U15" s="131"/>
      <c r="V15" s="131"/>
      <c r="W15" s="131"/>
      <c r="X15" s="131"/>
      <c r="Y15" s="140"/>
      <c r="Z15" s="107" t="s">
        <v>89</v>
      </c>
      <c r="AA15" s="107" t="s">
        <v>90</v>
      </c>
      <c r="AB15" s="107" t="s">
        <v>91</v>
      </c>
      <c r="AC15" s="107" t="s">
        <v>92</v>
      </c>
      <c r="AD15" s="109" t="s">
        <v>85</v>
      </c>
      <c r="AE15" s="131"/>
      <c r="AF15" s="131"/>
      <c r="AG15" s="131"/>
      <c r="AH15" s="131"/>
      <c r="AI15" s="139"/>
    </row>
    <row r="16" spans="1:35" ht="32.4" customHeight="1">
      <c r="A16" s="110"/>
      <c r="B16" s="110"/>
      <c r="C16" s="109">
        <v>2020</v>
      </c>
      <c r="D16" s="109">
        <f>C16+1</f>
        <v>2021</v>
      </c>
      <c r="E16" s="109">
        <f t="shared" ref="E16:G16" si="0">D16+1</f>
        <v>2022</v>
      </c>
      <c r="F16" s="109">
        <f t="shared" si="0"/>
        <v>2023</v>
      </c>
      <c r="G16" s="109">
        <f t="shared" si="0"/>
        <v>2024</v>
      </c>
      <c r="H16" s="86" t="s">
        <v>85</v>
      </c>
      <c r="I16" s="109">
        <v>2020</v>
      </c>
      <c r="J16" s="109">
        <f>I16+1</f>
        <v>2021</v>
      </c>
      <c r="K16" s="109">
        <f t="shared" ref="K16:M16" si="1">J16+1</f>
        <v>2022</v>
      </c>
      <c r="L16" s="109">
        <f t="shared" si="1"/>
        <v>2023</v>
      </c>
      <c r="M16" s="109">
        <f t="shared" si="1"/>
        <v>2024</v>
      </c>
      <c r="N16" s="109" t="s">
        <v>85</v>
      </c>
      <c r="O16" s="109" t="s">
        <v>87</v>
      </c>
      <c r="P16" s="140" t="s">
        <v>93</v>
      </c>
      <c r="Q16" s="140"/>
      <c r="R16" s="140"/>
      <c r="S16" s="140"/>
      <c r="T16" s="140"/>
      <c r="U16" s="140"/>
      <c r="V16" s="140"/>
      <c r="W16" s="140"/>
      <c r="X16" s="140"/>
      <c r="Y16" s="140"/>
      <c r="Z16" s="140" t="s">
        <v>87</v>
      </c>
      <c r="AA16" s="140"/>
      <c r="AB16" s="140"/>
      <c r="AC16" s="140"/>
      <c r="AD16" s="140"/>
      <c r="AE16" s="140"/>
      <c r="AF16" s="140"/>
      <c r="AG16" s="140"/>
      <c r="AH16" s="140"/>
      <c r="AI16" s="140"/>
    </row>
    <row r="17" spans="1:35" s="21" customFormat="1" ht="33" customHeight="1">
      <c r="A17" s="112">
        <v>1</v>
      </c>
      <c r="B17" s="112">
        <f>A17+1</f>
        <v>2</v>
      </c>
      <c r="C17" s="112">
        <f t="shared" ref="C17:AI17" si="2">B17+1</f>
        <v>3</v>
      </c>
      <c r="D17" s="112">
        <f t="shared" si="2"/>
        <v>4</v>
      </c>
      <c r="E17" s="112">
        <f t="shared" si="2"/>
        <v>5</v>
      </c>
      <c r="F17" s="112">
        <f t="shared" si="2"/>
        <v>6</v>
      </c>
      <c r="G17" s="112">
        <f t="shared" si="2"/>
        <v>7</v>
      </c>
      <c r="H17" s="87">
        <f t="shared" si="2"/>
        <v>8</v>
      </c>
      <c r="I17" s="112">
        <f t="shared" si="2"/>
        <v>9</v>
      </c>
      <c r="J17" s="112">
        <f t="shared" si="2"/>
        <v>10</v>
      </c>
      <c r="K17" s="112">
        <f t="shared" si="2"/>
        <v>11</v>
      </c>
      <c r="L17" s="112">
        <f t="shared" si="2"/>
        <v>12</v>
      </c>
      <c r="M17" s="112">
        <f t="shared" si="2"/>
        <v>13</v>
      </c>
      <c r="N17" s="112">
        <f t="shared" si="2"/>
        <v>14</v>
      </c>
      <c r="O17" s="112">
        <f t="shared" si="2"/>
        <v>15</v>
      </c>
      <c r="P17" s="112">
        <f t="shared" si="2"/>
        <v>16</v>
      </c>
      <c r="Q17" s="112">
        <f t="shared" si="2"/>
        <v>17</v>
      </c>
      <c r="R17" s="112">
        <f t="shared" si="2"/>
        <v>18</v>
      </c>
      <c r="S17" s="112">
        <f t="shared" si="2"/>
        <v>19</v>
      </c>
      <c r="T17" s="112">
        <f t="shared" si="2"/>
        <v>20</v>
      </c>
      <c r="U17" s="112">
        <f t="shared" si="2"/>
        <v>21</v>
      </c>
      <c r="V17" s="112">
        <f t="shared" si="2"/>
        <v>22</v>
      </c>
      <c r="W17" s="112">
        <f t="shared" si="2"/>
        <v>23</v>
      </c>
      <c r="X17" s="112">
        <f t="shared" si="2"/>
        <v>24</v>
      </c>
      <c r="Y17" s="112">
        <f t="shared" si="2"/>
        <v>25</v>
      </c>
      <c r="Z17" s="112">
        <f t="shared" si="2"/>
        <v>26</v>
      </c>
      <c r="AA17" s="112">
        <f t="shared" si="2"/>
        <v>27</v>
      </c>
      <c r="AB17" s="112">
        <f t="shared" si="2"/>
        <v>28</v>
      </c>
      <c r="AC17" s="112">
        <f t="shared" si="2"/>
        <v>29</v>
      </c>
      <c r="AD17" s="112">
        <f t="shared" si="2"/>
        <v>30</v>
      </c>
      <c r="AE17" s="112">
        <f t="shared" si="2"/>
        <v>31</v>
      </c>
      <c r="AF17" s="112">
        <f t="shared" si="2"/>
        <v>32</v>
      </c>
      <c r="AG17" s="112">
        <f t="shared" si="2"/>
        <v>33</v>
      </c>
      <c r="AH17" s="74">
        <f t="shared" si="2"/>
        <v>34</v>
      </c>
      <c r="AI17" s="112">
        <f t="shared" si="2"/>
        <v>35</v>
      </c>
    </row>
    <row r="18" spans="1:35" ht="45.6" customHeight="1">
      <c r="A18" s="112"/>
      <c r="B18" s="109" t="s">
        <v>7</v>
      </c>
      <c r="C18" s="108"/>
      <c r="D18" s="66"/>
      <c r="E18" s="108"/>
      <c r="F18" s="108"/>
      <c r="G18" s="66"/>
      <c r="H18" s="88"/>
      <c r="I18" s="66"/>
      <c r="J18" s="66"/>
      <c r="K18" s="66"/>
      <c r="L18" s="66"/>
      <c r="M18" s="66"/>
      <c r="N18" s="66"/>
      <c r="O18" s="66">
        <f>O19+O44</f>
        <v>2203.196019522155</v>
      </c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>
        <f>AD19+AD44</f>
        <v>406.5996426035</v>
      </c>
      <c r="AE18" s="66">
        <f t="shared" ref="AE18:AI18" si="3">AE19+AE44</f>
        <v>421.20039301389397</v>
      </c>
      <c r="AF18" s="66">
        <f t="shared" si="3"/>
        <v>439.30800648803421</v>
      </c>
      <c r="AG18" s="66">
        <f t="shared" si="3"/>
        <v>458.22710960148038</v>
      </c>
      <c r="AH18" s="66">
        <f t="shared" si="3"/>
        <v>477.86066540499382</v>
      </c>
      <c r="AI18" s="66">
        <f t="shared" si="3"/>
        <v>2203.1958171119027</v>
      </c>
    </row>
    <row r="19" spans="1:35" ht="51.6" customHeight="1">
      <c r="A19" s="112">
        <v>1</v>
      </c>
      <c r="B19" s="107" t="s">
        <v>8</v>
      </c>
      <c r="C19" s="108"/>
      <c r="D19" s="108"/>
      <c r="E19" s="108"/>
      <c r="F19" s="108"/>
      <c r="G19" s="66"/>
      <c r="H19" s="88"/>
      <c r="I19" s="66"/>
      <c r="J19" s="66"/>
      <c r="K19" s="66"/>
      <c r="L19" s="66"/>
      <c r="M19" s="66"/>
      <c r="N19" s="66"/>
      <c r="O19" s="66">
        <f>O20+O41</f>
        <v>700.85881762015379</v>
      </c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>
        <f>AD20+AD41</f>
        <v>77.332058600000011</v>
      </c>
      <c r="AE19" s="66">
        <f t="shared" ref="AE19:AI19" si="4">AE20+AE41</f>
        <v>165.2585548408</v>
      </c>
      <c r="AF19" s="66">
        <f t="shared" si="4"/>
        <v>149.17736844877282</v>
      </c>
      <c r="AG19" s="66">
        <f>AG20+AG41</f>
        <v>227.06311635944104</v>
      </c>
      <c r="AH19" s="66">
        <f t="shared" si="4"/>
        <v>82.027719371139909</v>
      </c>
      <c r="AI19" s="66">
        <f t="shared" si="4"/>
        <v>700.85881762015379</v>
      </c>
    </row>
    <row r="20" spans="1:35" ht="66.599999999999994" customHeight="1">
      <c r="A20" s="67" t="s">
        <v>10</v>
      </c>
      <c r="B20" s="107" t="s">
        <v>9</v>
      </c>
      <c r="C20" s="108"/>
      <c r="D20" s="66"/>
      <c r="E20" s="108"/>
      <c r="F20" s="108"/>
      <c r="G20" s="66"/>
      <c r="H20" s="88"/>
      <c r="I20" s="66"/>
      <c r="J20" s="108"/>
      <c r="K20" s="108"/>
      <c r="L20" s="108"/>
      <c r="M20" s="108"/>
      <c r="N20" s="108"/>
      <c r="O20" s="66">
        <f>SUM(O21:O27)</f>
        <v>565.85881762015379</v>
      </c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>
        <f t="shared" ref="AD20:AI20" si="5">SUM(AD21:AD27)</f>
        <v>57.332058600000003</v>
      </c>
      <c r="AE20" s="66">
        <f t="shared" si="5"/>
        <v>140.2585548408</v>
      </c>
      <c r="AF20" s="66">
        <f t="shared" si="5"/>
        <v>119.17736844877282</v>
      </c>
      <c r="AG20" s="66">
        <f t="shared" si="5"/>
        <v>197.06311635944104</v>
      </c>
      <c r="AH20" s="66">
        <f t="shared" si="5"/>
        <v>52.027719371139902</v>
      </c>
      <c r="AI20" s="66">
        <f t="shared" si="5"/>
        <v>565.85881762015379</v>
      </c>
    </row>
    <row r="21" spans="1:35" s="4" customFormat="1" ht="168" customHeight="1">
      <c r="A21" s="67" t="s">
        <v>16</v>
      </c>
      <c r="B21" s="68" t="s">
        <v>177</v>
      </c>
      <c r="C21" s="75"/>
      <c r="D21" s="77"/>
      <c r="E21" s="77"/>
      <c r="F21" s="77"/>
      <c r="G21" s="77"/>
      <c r="H21" s="90"/>
      <c r="I21" s="77"/>
      <c r="J21" s="77"/>
      <c r="K21" s="77"/>
      <c r="L21" s="77"/>
      <c r="M21" s="77"/>
      <c r="N21" s="77"/>
      <c r="O21" s="77">
        <v>98.155763103330571</v>
      </c>
      <c r="P21" s="75"/>
      <c r="Q21" s="75"/>
      <c r="R21" s="75"/>
      <c r="S21" s="77"/>
      <c r="T21" s="76" t="s">
        <v>199</v>
      </c>
      <c r="U21" s="76" t="s">
        <v>199</v>
      </c>
      <c r="V21" s="76" t="s">
        <v>199</v>
      </c>
      <c r="W21" s="76" t="s">
        <v>199</v>
      </c>
      <c r="X21" s="76" t="s">
        <v>199</v>
      </c>
      <c r="Y21" s="76" t="s">
        <v>216</v>
      </c>
      <c r="Z21" s="77"/>
      <c r="AA21" s="77"/>
      <c r="AB21" s="77"/>
      <c r="AC21" s="77"/>
      <c r="AD21" s="119">
        <f>((2.533+0.51)*1.217*0.2+(1.419*1.217)*2+(1.5*0.4*4)*2)*2</f>
        <v>17.989024400000002</v>
      </c>
      <c r="AE21" s="119">
        <f t="shared" ref="AE21:AF24" si="6">AD21*1.044</f>
        <v>18.780541473600003</v>
      </c>
      <c r="AF21" s="119">
        <f t="shared" si="6"/>
        <v>19.606885298438403</v>
      </c>
      <c r="AG21" s="104">
        <f t="shared" ref="AG21:AH24" si="7">AF21*1.043</f>
        <v>20.449981366271253</v>
      </c>
      <c r="AH21" s="119">
        <f t="shared" si="7"/>
        <v>21.329330565020914</v>
      </c>
      <c r="AI21" s="108">
        <f>SUM(AD21:AH21)</f>
        <v>98.155763103330571</v>
      </c>
    </row>
    <row r="22" spans="1:35" ht="192" customHeight="1">
      <c r="A22" s="67" t="s">
        <v>19</v>
      </c>
      <c r="B22" s="68" t="s">
        <v>18</v>
      </c>
      <c r="C22" s="75"/>
      <c r="D22" s="77"/>
      <c r="E22" s="77"/>
      <c r="F22" s="77"/>
      <c r="G22" s="77"/>
      <c r="H22" s="90"/>
      <c r="I22" s="77"/>
      <c r="J22" s="77"/>
      <c r="K22" s="77"/>
      <c r="L22" s="77"/>
      <c r="M22" s="75"/>
      <c r="N22" s="77"/>
      <c r="O22" s="77">
        <v>45.000633420865789</v>
      </c>
      <c r="P22" s="77"/>
      <c r="Q22" s="77"/>
      <c r="R22" s="77"/>
      <c r="S22" s="77"/>
      <c r="T22" s="76" t="s">
        <v>200</v>
      </c>
      <c r="U22" s="76" t="s">
        <v>200</v>
      </c>
      <c r="V22" s="76" t="s">
        <v>200</v>
      </c>
      <c r="W22" s="76" t="s">
        <v>200</v>
      </c>
      <c r="X22" s="76" t="s">
        <v>200</v>
      </c>
      <c r="Y22" s="76" t="s">
        <v>219</v>
      </c>
      <c r="Z22" s="77"/>
      <c r="AA22" s="77"/>
      <c r="AB22" s="89"/>
      <c r="AC22" s="77"/>
      <c r="AD22" s="119">
        <f>(2.533+0.51)*1.217*0.2+(1.112*1.217)*2+(1.5*0.4*4)*2</f>
        <v>8.2472742000000014</v>
      </c>
      <c r="AE22" s="119">
        <f t="shared" si="6"/>
        <v>8.610154264800002</v>
      </c>
      <c r="AF22" s="119">
        <f t="shared" si="6"/>
        <v>8.9890010524512025</v>
      </c>
      <c r="AG22" s="104">
        <f t="shared" si="7"/>
        <v>9.3755280977066029</v>
      </c>
      <c r="AH22" s="119">
        <f t="shared" si="7"/>
        <v>9.7786758059079855</v>
      </c>
      <c r="AI22" s="108">
        <f t="shared" ref="AI22:AI26" si="8">SUM(AD22:AH22)</f>
        <v>45.000633420865789</v>
      </c>
    </row>
    <row r="23" spans="1:35" ht="168.6" customHeight="1">
      <c r="A23" s="67" t="s">
        <v>21</v>
      </c>
      <c r="B23" s="68" t="s">
        <v>20</v>
      </c>
      <c r="C23" s="75"/>
      <c r="D23" s="77"/>
      <c r="E23" s="77"/>
      <c r="F23" s="77"/>
      <c r="G23" s="77"/>
      <c r="H23" s="90"/>
      <c r="I23" s="77"/>
      <c r="J23" s="77"/>
      <c r="K23" s="77"/>
      <c r="L23" s="77"/>
      <c r="M23" s="75"/>
      <c r="N23" s="77"/>
      <c r="O23" s="77">
        <v>51.270104527461484</v>
      </c>
      <c r="P23" s="77"/>
      <c r="Q23" s="77"/>
      <c r="R23" s="77"/>
      <c r="S23" s="77"/>
      <c r="T23" s="76" t="s">
        <v>220</v>
      </c>
      <c r="U23" s="76" t="s">
        <v>220</v>
      </c>
      <c r="V23" s="76" t="s">
        <v>220</v>
      </c>
      <c r="W23" s="76" t="s">
        <v>220</v>
      </c>
      <c r="X23" s="76" t="s">
        <v>220</v>
      </c>
      <c r="Y23" s="76" t="s">
        <v>221</v>
      </c>
      <c r="Z23" s="77"/>
      <c r="AA23" s="77"/>
      <c r="AB23" s="89"/>
      <c r="AC23" s="77"/>
      <c r="AD23" s="119">
        <f>(2.533+0.51)*1.217*0.1*3+(0.982*1.217)*3+(1.5*0.15*4)*3+2</f>
        <v>9.3962813000000001</v>
      </c>
      <c r="AE23" s="119">
        <f t="shared" si="6"/>
        <v>9.8097176772000001</v>
      </c>
      <c r="AF23" s="119">
        <f t="shared" si="6"/>
        <v>10.241345254996801</v>
      </c>
      <c r="AG23" s="104">
        <f t="shared" si="7"/>
        <v>10.681723100961664</v>
      </c>
      <c r="AH23" s="119">
        <f t="shared" si="7"/>
        <v>11.141037194303015</v>
      </c>
      <c r="AI23" s="108">
        <f t="shared" si="8"/>
        <v>51.270104527461484</v>
      </c>
    </row>
    <row r="24" spans="1:35" ht="214.8" customHeight="1">
      <c r="A24" s="67" t="s">
        <v>22</v>
      </c>
      <c r="B24" s="78" t="s">
        <v>23</v>
      </c>
      <c r="C24" s="75"/>
      <c r="D24" s="77"/>
      <c r="E24" s="77"/>
      <c r="F24" s="77"/>
      <c r="G24" s="77"/>
      <c r="H24" s="90"/>
      <c r="I24" s="77"/>
      <c r="J24" s="77"/>
      <c r="K24" s="77"/>
      <c r="L24" s="77"/>
      <c r="M24" s="75"/>
      <c r="N24" s="77"/>
      <c r="O24" s="77">
        <v>45.000633420865789</v>
      </c>
      <c r="P24" s="77"/>
      <c r="Q24" s="77"/>
      <c r="R24" s="77"/>
      <c r="S24" s="77"/>
      <c r="T24" s="76" t="s">
        <v>200</v>
      </c>
      <c r="U24" s="76" t="s">
        <v>200</v>
      </c>
      <c r="V24" s="76" t="s">
        <v>200</v>
      </c>
      <c r="W24" s="76" t="s">
        <v>200</v>
      </c>
      <c r="X24" s="76" t="s">
        <v>200</v>
      </c>
      <c r="Y24" s="76" t="s">
        <v>219</v>
      </c>
      <c r="Z24" s="77"/>
      <c r="AA24" s="77"/>
      <c r="AB24" s="77"/>
      <c r="AC24" s="77"/>
      <c r="AD24" s="119">
        <f>(2.533+0.51)*1.217*0.2+(1.112*1.217)*2+(1.5*0.4*4)*2</f>
        <v>8.2472742000000014</v>
      </c>
      <c r="AE24" s="119">
        <f t="shared" si="6"/>
        <v>8.610154264800002</v>
      </c>
      <c r="AF24" s="119">
        <f t="shared" si="6"/>
        <v>8.9890010524512025</v>
      </c>
      <c r="AG24" s="104">
        <f t="shared" si="7"/>
        <v>9.3755280977066029</v>
      </c>
      <c r="AH24" s="119">
        <f t="shared" si="7"/>
        <v>9.7786758059079855</v>
      </c>
      <c r="AI24" s="108">
        <f t="shared" si="8"/>
        <v>45.000633420865789</v>
      </c>
    </row>
    <row r="25" spans="1:35" ht="173.4" customHeight="1">
      <c r="A25" s="67" t="s">
        <v>25</v>
      </c>
      <c r="B25" s="68" t="s">
        <v>24</v>
      </c>
      <c r="C25" s="75"/>
      <c r="D25" s="77"/>
      <c r="E25" s="77"/>
      <c r="F25" s="77"/>
      <c r="G25" s="77"/>
      <c r="H25" s="90"/>
      <c r="I25" s="77"/>
      <c r="J25" s="77"/>
      <c r="K25" s="77"/>
      <c r="L25" s="77"/>
      <c r="M25" s="75"/>
      <c r="N25" s="77"/>
      <c r="O25" s="77">
        <v>36.334950451088005</v>
      </c>
      <c r="P25" s="77"/>
      <c r="Q25" s="77"/>
      <c r="R25" s="77"/>
      <c r="S25" s="77"/>
      <c r="T25" s="76"/>
      <c r="U25" s="76" t="s">
        <v>229</v>
      </c>
      <c r="V25" s="76" t="s">
        <v>26</v>
      </c>
      <c r="W25" s="120"/>
      <c r="X25" s="76"/>
      <c r="Y25" s="76" t="s">
        <v>230</v>
      </c>
      <c r="Z25" s="77"/>
      <c r="AA25" s="77"/>
      <c r="AB25" s="77"/>
      <c r="AC25" s="77"/>
      <c r="AD25" s="105">
        <f>17.177*1.217/2</f>
        <v>10.452204500000001</v>
      </c>
      <c r="AE25" s="105">
        <f>(17.177*1.217/2+(0.591+2.25+0.611)*1.193*0.35)*1.044</f>
        <v>12.416904932400001</v>
      </c>
      <c r="AF25" s="105">
        <f>((0.591+2.25+0.611)*1.193*(3.35-0.35))*1.044*1.044</f>
        <v>13.465841018688003</v>
      </c>
      <c r="AG25" s="75"/>
      <c r="AH25" s="105"/>
      <c r="AI25" s="108">
        <f t="shared" si="8"/>
        <v>36.334950451088005</v>
      </c>
    </row>
    <row r="26" spans="1:35" ht="76.5" customHeight="1">
      <c r="A26" s="73" t="s">
        <v>27</v>
      </c>
      <c r="B26" s="72" t="s">
        <v>194</v>
      </c>
      <c r="C26" s="75"/>
      <c r="D26" s="77"/>
      <c r="E26" s="77"/>
      <c r="F26" s="77"/>
      <c r="G26" s="77"/>
      <c r="H26" s="90"/>
      <c r="I26" s="77"/>
      <c r="J26" s="77"/>
      <c r="K26" s="77"/>
      <c r="L26" s="77"/>
      <c r="M26" s="75"/>
      <c r="N26" s="77"/>
      <c r="O26" s="77">
        <v>141.00124005098425</v>
      </c>
      <c r="P26" s="77"/>
      <c r="Q26" s="77"/>
      <c r="R26" s="77"/>
      <c r="S26" s="77"/>
      <c r="T26" s="79"/>
      <c r="U26" s="79"/>
      <c r="V26" s="76" t="s">
        <v>193</v>
      </c>
      <c r="W26" s="69"/>
      <c r="X26" s="76"/>
      <c r="Y26" s="76" t="s">
        <v>193</v>
      </c>
      <c r="Z26" s="77"/>
      <c r="AA26" s="77"/>
      <c r="AB26" s="77"/>
      <c r="AC26" s="77"/>
      <c r="AD26" s="105">
        <v>2</v>
      </c>
      <c r="AE26" s="105">
        <f>(5.01*2+15.989*2*0.5)*1.217*1.044</f>
        <v>33.045682932000005</v>
      </c>
      <c r="AF26" s="105">
        <f>15.989*2*0.5*1.217*1.044*1.044</f>
        <v>21.208642818768006</v>
      </c>
      <c r="AG26" s="105">
        <f>(1.66*(2+6*2+1)+0.002634*(100*2+40*2+582+306)+47.542*0.7)*1.217*1.044*1.044*1.043</f>
        <v>84.746914300216247</v>
      </c>
      <c r="AH26" s="105"/>
      <c r="AI26" s="108">
        <f t="shared" si="8"/>
        <v>141.00124005098425</v>
      </c>
    </row>
    <row r="27" spans="1:35" ht="71.25" customHeight="1">
      <c r="A27" s="73" t="s">
        <v>192</v>
      </c>
      <c r="B27" s="72" t="s">
        <v>195</v>
      </c>
      <c r="C27" s="75"/>
      <c r="D27" s="77"/>
      <c r="E27" s="77"/>
      <c r="F27" s="77"/>
      <c r="G27" s="77"/>
      <c r="H27" s="90"/>
      <c r="I27" s="77"/>
      <c r="J27" s="77"/>
      <c r="K27" s="77"/>
      <c r="L27" s="77"/>
      <c r="M27" s="75"/>
      <c r="N27" s="77"/>
      <c r="O27" s="77">
        <v>149.0954926455579</v>
      </c>
      <c r="P27" s="77"/>
      <c r="Q27" s="77"/>
      <c r="R27" s="77"/>
      <c r="S27" s="77"/>
      <c r="T27" s="79"/>
      <c r="U27" s="76" t="s">
        <v>223</v>
      </c>
      <c r="V27" s="79"/>
      <c r="W27" s="69"/>
      <c r="X27" s="76"/>
      <c r="Y27" s="76" t="s">
        <v>223</v>
      </c>
      <c r="Z27" s="77"/>
      <c r="AA27" s="77"/>
      <c r="AB27" s="77"/>
      <c r="AC27" s="77"/>
      <c r="AD27" s="119">
        <f>1</f>
        <v>1</v>
      </c>
      <c r="AE27" s="119">
        <f>1.782+18.576*1.217*2*1.044</f>
        <v>48.985399296000011</v>
      </c>
      <c r="AF27" s="119">
        <f>0.794+(5.01*2+1.66*(2+12*2+1)*0.38)*1.217*1.044*1.044</f>
        <v>36.676651952979199</v>
      </c>
      <c r="AG27" s="119">
        <f>(1.66*(2+12*2+1)*0.62+0.002634*(100*2+40*2+582+306)+47.542*0.3)*1.217*1.044*1.044*1.043</f>
        <v>62.433441396578679</v>
      </c>
      <c r="AH27" s="119"/>
      <c r="AI27" s="108">
        <f>SUM(AD27:AH27)</f>
        <v>149.0954926455579</v>
      </c>
    </row>
    <row r="28" spans="1:35" ht="18">
      <c r="A28" s="67" t="s">
        <v>28</v>
      </c>
      <c r="B28" s="76"/>
      <c r="C28" s="77"/>
      <c r="D28" s="77"/>
      <c r="E28" s="77"/>
      <c r="F28" s="77"/>
      <c r="G28" s="77"/>
      <c r="H28" s="90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6"/>
      <c r="U28" s="76"/>
      <c r="V28" s="76"/>
      <c r="W28" s="76"/>
      <c r="X28" s="76"/>
      <c r="Y28" s="76"/>
      <c r="Z28" s="77"/>
      <c r="AA28" s="77"/>
      <c r="AB28" s="77"/>
      <c r="AC28" s="77"/>
      <c r="AD28" s="77"/>
      <c r="AE28" s="77"/>
      <c r="AF28" s="77"/>
      <c r="AG28" s="77"/>
      <c r="AH28" s="75"/>
      <c r="AI28" s="108"/>
    </row>
    <row r="29" spans="1:35" ht="34.799999999999997">
      <c r="A29" s="80" t="s">
        <v>30</v>
      </c>
      <c r="B29" s="107" t="s">
        <v>29</v>
      </c>
      <c r="C29" s="77"/>
      <c r="D29" s="77"/>
      <c r="E29" s="77"/>
      <c r="F29" s="77"/>
      <c r="G29" s="77"/>
      <c r="H29" s="90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6"/>
      <c r="U29" s="76"/>
      <c r="V29" s="76"/>
      <c r="W29" s="76"/>
      <c r="X29" s="76"/>
      <c r="Y29" s="76"/>
      <c r="Z29" s="77"/>
      <c r="AA29" s="77"/>
      <c r="AB29" s="77"/>
      <c r="AC29" s="77"/>
      <c r="AD29" s="77"/>
      <c r="AE29" s="77"/>
      <c r="AF29" s="77"/>
      <c r="AG29" s="77"/>
      <c r="AH29" s="75"/>
      <c r="AI29" s="108"/>
    </row>
    <row r="30" spans="1:35" ht="18">
      <c r="A30" s="67" t="s">
        <v>33</v>
      </c>
      <c r="B30" s="68" t="s">
        <v>31</v>
      </c>
      <c r="C30" s="77"/>
      <c r="D30" s="77"/>
      <c r="E30" s="77"/>
      <c r="F30" s="77"/>
      <c r="G30" s="77"/>
      <c r="H30" s="90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6"/>
      <c r="U30" s="76"/>
      <c r="V30" s="76"/>
      <c r="W30" s="76"/>
      <c r="X30" s="76"/>
      <c r="Y30" s="76"/>
      <c r="Z30" s="77"/>
      <c r="AA30" s="77"/>
      <c r="AB30" s="77"/>
      <c r="AC30" s="77"/>
      <c r="AD30" s="77"/>
      <c r="AE30" s="77"/>
      <c r="AF30" s="77"/>
      <c r="AG30" s="77"/>
      <c r="AH30" s="75"/>
      <c r="AI30" s="108"/>
    </row>
    <row r="31" spans="1:35" ht="18">
      <c r="A31" s="67" t="s">
        <v>34</v>
      </c>
      <c r="B31" s="68" t="s">
        <v>32</v>
      </c>
      <c r="C31" s="77"/>
      <c r="D31" s="77"/>
      <c r="E31" s="77"/>
      <c r="F31" s="77"/>
      <c r="G31" s="77"/>
      <c r="H31" s="90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6"/>
      <c r="U31" s="76"/>
      <c r="V31" s="76"/>
      <c r="W31" s="76"/>
      <c r="X31" s="76"/>
      <c r="Y31" s="76"/>
      <c r="Z31" s="77"/>
      <c r="AA31" s="77"/>
      <c r="AB31" s="77"/>
      <c r="AC31" s="77"/>
      <c r="AD31" s="77"/>
      <c r="AE31" s="77"/>
      <c r="AF31" s="77"/>
      <c r="AG31" s="77"/>
      <c r="AH31" s="75"/>
      <c r="AI31" s="108"/>
    </row>
    <row r="32" spans="1:35" ht="18">
      <c r="A32" s="67" t="s">
        <v>28</v>
      </c>
      <c r="B32" s="76"/>
      <c r="C32" s="77"/>
      <c r="D32" s="77"/>
      <c r="E32" s="77"/>
      <c r="F32" s="77"/>
      <c r="G32" s="77"/>
      <c r="H32" s="90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6"/>
      <c r="U32" s="76"/>
      <c r="V32" s="76"/>
      <c r="W32" s="76"/>
      <c r="X32" s="76"/>
      <c r="Y32" s="76"/>
      <c r="Z32" s="77"/>
      <c r="AA32" s="77"/>
      <c r="AB32" s="77"/>
      <c r="AC32" s="77"/>
      <c r="AD32" s="77"/>
      <c r="AE32" s="77"/>
      <c r="AF32" s="77"/>
      <c r="AG32" s="77"/>
      <c r="AH32" s="75"/>
      <c r="AI32" s="108"/>
    </row>
    <row r="33" spans="1:35" ht="18">
      <c r="A33" s="80" t="s">
        <v>36</v>
      </c>
      <c r="B33" s="107" t="s">
        <v>35</v>
      </c>
      <c r="C33" s="77"/>
      <c r="D33" s="77"/>
      <c r="E33" s="77"/>
      <c r="F33" s="77"/>
      <c r="G33" s="77"/>
      <c r="H33" s="90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6"/>
      <c r="U33" s="76"/>
      <c r="V33" s="76"/>
      <c r="W33" s="76"/>
      <c r="X33" s="76"/>
      <c r="Y33" s="76"/>
      <c r="Z33" s="77"/>
      <c r="AA33" s="77"/>
      <c r="AB33" s="77"/>
      <c r="AC33" s="77"/>
      <c r="AD33" s="77"/>
      <c r="AE33" s="77"/>
      <c r="AF33" s="77"/>
      <c r="AG33" s="77"/>
      <c r="AH33" s="75"/>
      <c r="AI33" s="108"/>
    </row>
    <row r="34" spans="1:35" ht="18">
      <c r="A34" s="67" t="s">
        <v>33</v>
      </c>
      <c r="B34" s="68" t="s">
        <v>31</v>
      </c>
      <c r="C34" s="77"/>
      <c r="D34" s="77"/>
      <c r="E34" s="77"/>
      <c r="F34" s="77"/>
      <c r="G34" s="77"/>
      <c r="H34" s="90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6"/>
      <c r="U34" s="76"/>
      <c r="V34" s="76"/>
      <c r="W34" s="76"/>
      <c r="X34" s="76"/>
      <c r="Y34" s="76"/>
      <c r="Z34" s="77"/>
      <c r="AA34" s="77"/>
      <c r="AB34" s="77"/>
      <c r="AC34" s="77"/>
      <c r="AD34" s="77"/>
      <c r="AE34" s="77"/>
      <c r="AF34" s="77"/>
      <c r="AG34" s="77"/>
      <c r="AH34" s="75"/>
      <c r="AI34" s="108"/>
    </row>
    <row r="35" spans="1:35" ht="18">
      <c r="A35" s="67" t="s">
        <v>34</v>
      </c>
      <c r="B35" s="68" t="s">
        <v>32</v>
      </c>
      <c r="C35" s="77"/>
      <c r="D35" s="77"/>
      <c r="E35" s="77"/>
      <c r="F35" s="77"/>
      <c r="G35" s="77"/>
      <c r="H35" s="90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6"/>
      <c r="U35" s="76"/>
      <c r="V35" s="76"/>
      <c r="W35" s="76"/>
      <c r="X35" s="76"/>
      <c r="Y35" s="76"/>
      <c r="Z35" s="77"/>
      <c r="AA35" s="77"/>
      <c r="AB35" s="77"/>
      <c r="AC35" s="77"/>
      <c r="AD35" s="77"/>
      <c r="AE35" s="77"/>
      <c r="AF35" s="77"/>
      <c r="AG35" s="77"/>
      <c r="AH35" s="75"/>
      <c r="AI35" s="108"/>
    </row>
    <row r="36" spans="1:35" ht="18">
      <c r="A36" s="67" t="s">
        <v>28</v>
      </c>
      <c r="B36" s="76"/>
      <c r="C36" s="77"/>
      <c r="D36" s="77"/>
      <c r="E36" s="77"/>
      <c r="F36" s="77"/>
      <c r="G36" s="77"/>
      <c r="H36" s="90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6"/>
      <c r="U36" s="76"/>
      <c r="V36" s="76"/>
      <c r="W36" s="76"/>
      <c r="X36" s="76"/>
      <c r="Y36" s="76"/>
      <c r="Z36" s="77"/>
      <c r="AA36" s="77"/>
      <c r="AB36" s="77"/>
      <c r="AC36" s="77"/>
      <c r="AD36" s="77"/>
      <c r="AE36" s="77"/>
      <c r="AF36" s="77"/>
      <c r="AG36" s="77"/>
      <c r="AH36" s="75"/>
      <c r="AI36" s="108"/>
    </row>
    <row r="37" spans="1:35" ht="52.2">
      <c r="A37" s="80" t="s">
        <v>38</v>
      </c>
      <c r="B37" s="107" t="s">
        <v>37</v>
      </c>
      <c r="C37" s="77"/>
      <c r="D37" s="77"/>
      <c r="E37" s="77"/>
      <c r="F37" s="77"/>
      <c r="G37" s="77"/>
      <c r="H37" s="90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6"/>
      <c r="U37" s="76"/>
      <c r="V37" s="76"/>
      <c r="W37" s="76"/>
      <c r="X37" s="76"/>
      <c r="Y37" s="76"/>
      <c r="Z37" s="77"/>
      <c r="AA37" s="77"/>
      <c r="AB37" s="77"/>
      <c r="AC37" s="77"/>
      <c r="AD37" s="77"/>
      <c r="AE37" s="77"/>
      <c r="AF37" s="77"/>
      <c r="AG37" s="77"/>
      <c r="AH37" s="75"/>
      <c r="AI37" s="108"/>
    </row>
    <row r="38" spans="1:35" ht="18">
      <c r="A38" s="67" t="s">
        <v>33</v>
      </c>
      <c r="B38" s="68" t="s">
        <v>31</v>
      </c>
      <c r="C38" s="77"/>
      <c r="D38" s="77"/>
      <c r="E38" s="77"/>
      <c r="F38" s="77"/>
      <c r="G38" s="77"/>
      <c r="H38" s="90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6"/>
      <c r="U38" s="76"/>
      <c r="V38" s="76"/>
      <c r="W38" s="76"/>
      <c r="X38" s="76"/>
      <c r="Y38" s="76"/>
      <c r="Z38" s="77"/>
      <c r="AA38" s="77"/>
      <c r="AB38" s="77"/>
      <c r="AC38" s="77"/>
      <c r="AD38" s="77"/>
      <c r="AE38" s="77"/>
      <c r="AF38" s="77"/>
      <c r="AG38" s="77"/>
      <c r="AH38" s="75"/>
      <c r="AI38" s="108"/>
    </row>
    <row r="39" spans="1:35" ht="18">
      <c r="A39" s="67" t="s">
        <v>34</v>
      </c>
      <c r="B39" s="68" t="s">
        <v>32</v>
      </c>
      <c r="C39" s="77"/>
      <c r="D39" s="77"/>
      <c r="E39" s="77"/>
      <c r="F39" s="77"/>
      <c r="G39" s="77"/>
      <c r="H39" s="90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6"/>
      <c r="U39" s="76"/>
      <c r="V39" s="76"/>
      <c r="W39" s="76"/>
      <c r="X39" s="76"/>
      <c r="Y39" s="76"/>
      <c r="Z39" s="77"/>
      <c r="AA39" s="77"/>
      <c r="AB39" s="77"/>
      <c r="AC39" s="77"/>
      <c r="AD39" s="77"/>
      <c r="AE39" s="77"/>
      <c r="AF39" s="77"/>
      <c r="AG39" s="77"/>
      <c r="AH39" s="75"/>
      <c r="AI39" s="108"/>
    </row>
    <row r="40" spans="1:35" ht="18">
      <c r="A40" s="67" t="s">
        <v>28</v>
      </c>
      <c r="B40" s="76"/>
      <c r="C40" s="77"/>
      <c r="D40" s="77"/>
      <c r="E40" s="77"/>
      <c r="F40" s="77"/>
      <c r="G40" s="77"/>
      <c r="H40" s="90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6"/>
      <c r="U40" s="76"/>
      <c r="V40" s="76"/>
      <c r="W40" s="76"/>
      <c r="X40" s="76"/>
      <c r="Y40" s="76"/>
      <c r="Z40" s="77"/>
      <c r="AA40" s="77"/>
      <c r="AB40" s="77"/>
      <c r="AC40" s="77"/>
      <c r="AD40" s="77"/>
      <c r="AE40" s="77"/>
      <c r="AF40" s="77"/>
      <c r="AG40" s="77"/>
      <c r="AH40" s="75"/>
      <c r="AI40" s="108"/>
    </row>
    <row r="41" spans="1:35" ht="28.8" customHeight="1">
      <c r="A41" s="80" t="s">
        <v>39</v>
      </c>
      <c r="B41" s="107" t="s">
        <v>40</v>
      </c>
      <c r="C41" s="77"/>
      <c r="D41" s="77"/>
      <c r="E41" s="77"/>
      <c r="F41" s="77"/>
      <c r="G41" s="82"/>
      <c r="H41" s="91"/>
      <c r="I41" s="82"/>
      <c r="J41" s="77"/>
      <c r="K41" s="77"/>
      <c r="L41" s="77"/>
      <c r="M41" s="77"/>
      <c r="N41" s="77"/>
      <c r="O41" s="82">
        <f>O42</f>
        <v>135</v>
      </c>
      <c r="P41" s="82"/>
      <c r="Q41" s="82"/>
      <c r="R41" s="82"/>
      <c r="S41" s="82"/>
      <c r="T41" s="77"/>
      <c r="U41" s="77"/>
      <c r="V41" s="77"/>
      <c r="W41" s="77"/>
      <c r="X41" s="77"/>
      <c r="Y41" s="77"/>
      <c r="Z41" s="82"/>
      <c r="AA41" s="82"/>
      <c r="AB41" s="82"/>
      <c r="AC41" s="82"/>
      <c r="AD41" s="82">
        <f>AD42</f>
        <v>20</v>
      </c>
      <c r="AE41" s="82">
        <f t="shared" ref="AE41:AI41" si="9">AE42</f>
        <v>25</v>
      </c>
      <c r="AF41" s="82">
        <f t="shared" si="9"/>
        <v>30</v>
      </c>
      <c r="AG41" s="82">
        <f t="shared" si="9"/>
        <v>30</v>
      </c>
      <c r="AH41" s="82">
        <f t="shared" si="9"/>
        <v>30</v>
      </c>
      <c r="AI41" s="82">
        <f t="shared" si="9"/>
        <v>135</v>
      </c>
    </row>
    <row r="42" spans="1:35" ht="31.8" customHeight="1">
      <c r="A42" s="67" t="s">
        <v>42</v>
      </c>
      <c r="B42" s="68" t="s">
        <v>41</v>
      </c>
      <c r="C42" s="77"/>
      <c r="D42" s="77"/>
      <c r="E42" s="77"/>
      <c r="F42" s="77"/>
      <c r="G42" s="77"/>
      <c r="H42" s="90"/>
      <c r="I42" s="77"/>
      <c r="J42" s="77"/>
      <c r="K42" s="77"/>
      <c r="L42" s="77"/>
      <c r="M42" s="77"/>
      <c r="N42" s="77"/>
      <c r="O42" s="77">
        <v>135</v>
      </c>
      <c r="P42" s="77"/>
      <c r="Q42" s="75"/>
      <c r="R42" s="75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121">
        <v>20</v>
      </c>
      <c r="AE42" s="121">
        <v>25</v>
      </c>
      <c r="AF42" s="121">
        <v>30</v>
      </c>
      <c r="AG42" s="121">
        <v>30</v>
      </c>
      <c r="AH42" s="121">
        <v>30</v>
      </c>
      <c r="AI42" s="66">
        <f>SUM(AD42:AH42)</f>
        <v>135</v>
      </c>
    </row>
    <row r="43" spans="1:35" ht="18">
      <c r="A43" s="67" t="s">
        <v>28</v>
      </c>
      <c r="B43" s="76"/>
      <c r="C43" s="77"/>
      <c r="D43" s="77"/>
      <c r="E43" s="77"/>
      <c r="F43" s="77"/>
      <c r="G43" s="77"/>
      <c r="H43" s="90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6"/>
      <c r="U43" s="76"/>
      <c r="V43" s="76"/>
      <c r="W43" s="76"/>
      <c r="X43" s="76"/>
      <c r="Y43" s="76"/>
      <c r="Z43" s="77"/>
      <c r="AA43" s="77"/>
      <c r="AB43" s="77"/>
      <c r="AC43" s="77"/>
      <c r="AD43" s="77"/>
      <c r="AE43" s="77"/>
      <c r="AF43" s="77"/>
      <c r="AG43" s="77"/>
      <c r="AH43" s="75"/>
      <c r="AI43" s="108"/>
    </row>
    <row r="44" spans="1:35" ht="34.799999999999997" customHeight="1">
      <c r="A44" s="80" t="s">
        <v>34</v>
      </c>
      <c r="B44" s="107" t="s">
        <v>43</v>
      </c>
      <c r="C44" s="77"/>
      <c r="D44" s="82"/>
      <c r="E44" s="82"/>
      <c r="F44" s="82"/>
      <c r="G44" s="82"/>
      <c r="H44" s="91"/>
      <c r="I44" s="82"/>
      <c r="J44" s="82"/>
      <c r="K44" s="82"/>
      <c r="L44" s="82"/>
      <c r="M44" s="82"/>
      <c r="N44" s="82"/>
      <c r="O44" s="82">
        <f>O45</f>
        <v>1502.3372019020012</v>
      </c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>
        <f>AD45</f>
        <v>329.26758400350002</v>
      </c>
      <c r="AE44" s="82">
        <f t="shared" ref="AE44:AI44" si="10">AE45</f>
        <v>255.941838173094</v>
      </c>
      <c r="AF44" s="82">
        <f t="shared" si="10"/>
        <v>290.13063803926138</v>
      </c>
      <c r="AG44" s="82">
        <f t="shared" si="10"/>
        <v>231.16399324203937</v>
      </c>
      <c r="AH44" s="82">
        <f t="shared" si="10"/>
        <v>395.83294603385389</v>
      </c>
      <c r="AI44" s="82">
        <f t="shared" si="10"/>
        <v>1502.3369994917489</v>
      </c>
    </row>
    <row r="45" spans="1:35" ht="52.8" customHeight="1">
      <c r="A45" s="80" t="s">
        <v>44</v>
      </c>
      <c r="B45" s="107" t="s">
        <v>9</v>
      </c>
      <c r="C45" s="77"/>
      <c r="D45" s="77"/>
      <c r="E45" s="77"/>
      <c r="F45" s="77"/>
      <c r="G45" s="77"/>
      <c r="H45" s="90"/>
      <c r="I45" s="77"/>
      <c r="J45" s="77"/>
      <c r="K45" s="77"/>
      <c r="L45" s="77"/>
      <c r="M45" s="77"/>
      <c r="N45" s="77"/>
      <c r="O45" s="82">
        <f>SUM(O46:O63)</f>
        <v>1502.3372019020012</v>
      </c>
      <c r="P45" s="82"/>
      <c r="Q45" s="82"/>
      <c r="R45" s="82"/>
      <c r="S45" s="82"/>
      <c r="T45" s="77"/>
      <c r="U45" s="77"/>
      <c r="V45" s="77"/>
      <c r="W45" s="77"/>
      <c r="X45" s="77"/>
      <c r="Y45" s="77"/>
      <c r="Z45" s="82"/>
      <c r="AA45" s="82"/>
      <c r="AB45" s="82"/>
      <c r="AC45" s="82"/>
      <c r="AD45" s="82">
        <f>SUM(AD46:AD64)</f>
        <v>329.26758400350002</v>
      </c>
      <c r="AE45" s="82">
        <f t="shared" ref="AE45:AH45" si="11">SUM(AE46:AE64)</f>
        <v>255.941838173094</v>
      </c>
      <c r="AF45" s="82">
        <f t="shared" si="11"/>
        <v>290.13063803926138</v>
      </c>
      <c r="AG45" s="82">
        <f t="shared" si="11"/>
        <v>231.16399324203937</v>
      </c>
      <c r="AH45" s="82">
        <f t="shared" si="11"/>
        <v>395.83294603385389</v>
      </c>
      <c r="AI45" s="82">
        <f>SUM(AI46:AI64)</f>
        <v>1502.3369994917489</v>
      </c>
    </row>
    <row r="46" spans="1:35" ht="92.25" customHeight="1">
      <c r="A46" s="67" t="s">
        <v>45</v>
      </c>
      <c r="B46" s="68" t="s">
        <v>201</v>
      </c>
      <c r="C46" s="75"/>
      <c r="D46" s="77"/>
      <c r="E46" s="77"/>
      <c r="F46" s="77"/>
      <c r="G46" s="77"/>
      <c r="H46" s="90"/>
      <c r="I46" s="77"/>
      <c r="J46" s="77"/>
      <c r="K46" s="77"/>
      <c r="L46" s="77"/>
      <c r="M46" s="77"/>
      <c r="N46" s="77"/>
      <c r="O46" s="77">
        <v>54.564250356640002</v>
      </c>
      <c r="P46" s="75"/>
      <c r="Q46" s="75"/>
      <c r="R46" s="75"/>
      <c r="S46" s="75"/>
      <c r="T46" s="76"/>
      <c r="U46" s="76"/>
      <c r="V46" s="76"/>
      <c r="W46" s="76"/>
      <c r="X46" s="76"/>
      <c r="Y46" s="76"/>
      <c r="Z46" s="77"/>
      <c r="AA46" s="77"/>
      <c r="AB46" s="77"/>
      <c r="AC46" s="77"/>
      <c r="AD46" s="121">
        <v>10</v>
      </c>
      <c r="AE46" s="121">
        <f>AD46*1.044</f>
        <v>10.440000000000001</v>
      </c>
      <c r="AF46" s="121">
        <f>AE46*1.044</f>
        <v>10.899360000000001</v>
      </c>
      <c r="AG46" s="121">
        <f>AF46*1.043</f>
        <v>11.36803248</v>
      </c>
      <c r="AH46" s="121">
        <f>AG46*1.043</f>
        <v>11.856857876639999</v>
      </c>
      <c r="AI46" s="108">
        <f>SUM(AD46:AH46)</f>
        <v>54.564250356640002</v>
      </c>
    </row>
    <row r="47" spans="1:35" s="30" customFormat="1" ht="88.5" customHeight="1">
      <c r="A47" s="67" t="s">
        <v>47</v>
      </c>
      <c r="B47" s="68" t="s">
        <v>46</v>
      </c>
      <c r="C47" s="75"/>
      <c r="D47" s="75"/>
      <c r="E47" s="75"/>
      <c r="F47" s="75"/>
      <c r="G47" s="75"/>
      <c r="H47" s="92"/>
      <c r="I47" s="75"/>
      <c r="J47" s="75"/>
      <c r="K47" s="75"/>
      <c r="L47" s="75"/>
      <c r="M47" s="75"/>
      <c r="N47" s="75"/>
      <c r="O47" s="75">
        <v>124.04837000000001</v>
      </c>
      <c r="P47" s="75"/>
      <c r="Q47" s="75"/>
      <c r="R47" s="75"/>
      <c r="S47" s="75"/>
      <c r="T47" s="76" t="s">
        <v>205</v>
      </c>
      <c r="U47" s="76"/>
      <c r="V47" s="76"/>
      <c r="W47" s="76"/>
      <c r="X47" s="76"/>
      <c r="Y47" s="76" t="s">
        <v>205</v>
      </c>
      <c r="Z47" s="75"/>
      <c r="AA47" s="75"/>
      <c r="AB47" s="75"/>
      <c r="AC47" s="75"/>
      <c r="AD47" s="104">
        <f>290.97037-(73.74+93.182)</f>
        <v>124.04837000000001</v>
      </c>
      <c r="AE47" s="104"/>
      <c r="AF47" s="104"/>
      <c r="AG47" s="104"/>
      <c r="AH47" s="104"/>
      <c r="AI47" s="108">
        <f t="shared" ref="AI47:AI59" si="12">SUM(AD47:AH47)</f>
        <v>124.04837000000001</v>
      </c>
    </row>
    <row r="48" spans="1:35" s="30" customFormat="1" ht="102.75" customHeight="1">
      <c r="A48" s="67" t="s">
        <v>202</v>
      </c>
      <c r="B48" s="72" t="s">
        <v>52</v>
      </c>
      <c r="C48" s="75"/>
      <c r="D48" s="75"/>
      <c r="E48" s="75"/>
      <c r="F48" s="75"/>
      <c r="G48" s="75"/>
      <c r="H48" s="92"/>
      <c r="I48" s="75"/>
      <c r="J48" s="75"/>
      <c r="K48" s="75"/>
      <c r="L48" s="75"/>
      <c r="M48" s="75"/>
      <c r="N48" s="75"/>
      <c r="O48" s="71">
        <v>21.970736835024002</v>
      </c>
      <c r="P48" s="75"/>
      <c r="Q48" s="75"/>
      <c r="R48" s="75"/>
      <c r="S48" s="75"/>
      <c r="T48" s="76" t="s">
        <v>232</v>
      </c>
      <c r="U48" s="76" t="s">
        <v>80</v>
      </c>
      <c r="V48" s="76"/>
      <c r="W48" s="76"/>
      <c r="X48" s="76"/>
      <c r="Y48" s="76" t="s">
        <v>231</v>
      </c>
      <c r="Z48" s="75"/>
      <c r="AA48" s="75"/>
      <c r="AB48" s="75"/>
      <c r="AC48" s="75"/>
      <c r="AD48" s="104">
        <f>(2.078*1.217)*1+((0.591+2.133+0.611)*1.193*1+48.117*1.193*0.01)*1.3*2</f>
        <v>14.365922106000003</v>
      </c>
      <c r="AE48" s="121">
        <f>((0.591+2.133+0.611)*1.193*1+48.117*1.193*0.01)*(0.2+1.4)*1.044</f>
        <v>7.6048147290240005</v>
      </c>
      <c r="AF48" s="104"/>
      <c r="AG48" s="104"/>
      <c r="AH48" s="104"/>
      <c r="AI48" s="108">
        <f t="shared" si="12"/>
        <v>21.970736835024002</v>
      </c>
    </row>
    <row r="49" spans="1:35" s="30" customFormat="1" ht="93.75" customHeight="1">
      <c r="A49" s="67" t="s">
        <v>48</v>
      </c>
      <c r="B49" s="72" t="s">
        <v>198</v>
      </c>
      <c r="C49" s="75"/>
      <c r="D49" s="75"/>
      <c r="E49" s="75"/>
      <c r="F49" s="75"/>
      <c r="G49" s="75"/>
      <c r="H49" s="92"/>
      <c r="I49" s="75"/>
      <c r="J49" s="75"/>
      <c r="K49" s="75"/>
      <c r="L49" s="75"/>
      <c r="M49" s="75"/>
      <c r="N49" s="75"/>
      <c r="O49" s="71">
        <v>143.5964501454379</v>
      </c>
      <c r="P49" s="75"/>
      <c r="Q49" s="75"/>
      <c r="R49" s="75"/>
      <c r="S49" s="75"/>
      <c r="T49" s="76"/>
      <c r="U49" s="76"/>
      <c r="V49" s="76"/>
      <c r="W49" s="70"/>
      <c r="X49" s="76" t="s">
        <v>236</v>
      </c>
      <c r="Y49" s="76" t="s">
        <v>235</v>
      </c>
      <c r="Z49" s="75"/>
      <c r="AA49" s="75"/>
      <c r="AB49" s="75"/>
      <c r="AC49" s="75"/>
      <c r="AD49" s="119"/>
      <c r="AE49" s="119"/>
      <c r="AF49" s="119"/>
      <c r="AG49" s="119">
        <v>2.2999999999999998</v>
      </c>
      <c r="AH49" s="119">
        <f>1.7+2.951+((9.953/6.3*4*2)+(8.863*8.9+0.357*8.9))*1.217*1.044*1.044*1.043*1.043</f>
        <v>141.29645014543789</v>
      </c>
      <c r="AI49" s="108">
        <f t="shared" si="12"/>
        <v>143.5964501454379</v>
      </c>
    </row>
    <row r="50" spans="1:35" s="30" customFormat="1" ht="78.75" customHeight="1">
      <c r="A50" s="67" t="s">
        <v>49</v>
      </c>
      <c r="B50" s="68" t="s">
        <v>53</v>
      </c>
      <c r="C50" s="75"/>
      <c r="D50" s="75"/>
      <c r="E50" s="75"/>
      <c r="F50" s="75"/>
      <c r="G50" s="75"/>
      <c r="H50" s="92"/>
      <c r="I50" s="75"/>
      <c r="J50" s="75"/>
      <c r="K50" s="75"/>
      <c r="L50" s="75"/>
      <c r="M50" s="75"/>
      <c r="N50" s="75"/>
      <c r="O50" s="75">
        <v>93.06658962937</v>
      </c>
      <c r="P50" s="75"/>
      <c r="Q50" s="75"/>
      <c r="R50" s="75"/>
      <c r="S50" s="75"/>
      <c r="T50" s="76" t="s">
        <v>224</v>
      </c>
      <c r="U50" s="76" t="s">
        <v>225</v>
      </c>
      <c r="V50" s="76" t="s">
        <v>226</v>
      </c>
      <c r="W50" s="76" t="s">
        <v>227</v>
      </c>
      <c r="X50" s="75" t="s">
        <v>228</v>
      </c>
      <c r="Y50" s="76" t="s">
        <v>260</v>
      </c>
      <c r="Z50" s="75"/>
      <c r="AA50" s="75"/>
      <c r="AB50" s="75"/>
      <c r="AC50" s="75"/>
      <c r="AD50" s="104">
        <f>17.177*1.217/2+((2.533+0.51)*1.217*0.1+(1.112*1.217)*1+(1.5*0.175*4)+0.001)</f>
        <v>13.2268416</v>
      </c>
      <c r="AE50" s="104">
        <f>(17.177*1.217/2+((0.591+2.25+0.611)*1.193*1+48.117*1.193*0.01)*1.5*2)*1.044</f>
        <v>25.608296806920002</v>
      </c>
      <c r="AF50" s="104">
        <f>2.5*8*1.044*1.044</f>
        <v>21.798720000000003</v>
      </c>
      <c r="AG50" s="104">
        <f>((0.591+2.25+0.611)*1.193*1+48.117*1.193*0.01)*2*2*1.044*1.044*1.043</f>
        <v>21.336759336427356</v>
      </c>
      <c r="AH50" s="104">
        <f>((2.533+0.51)*1.217*0.5+(1.112*1.217)*2+(1.5*0.4*4)*2)*1.044*1.044*1.043*1.043</f>
        <v>11.095971886022639</v>
      </c>
      <c r="AI50" s="108">
        <f t="shared" si="12"/>
        <v>93.06658962937</v>
      </c>
    </row>
    <row r="51" spans="1:35" s="4" customFormat="1" ht="69" customHeight="1">
      <c r="A51" s="67" t="s">
        <v>50</v>
      </c>
      <c r="B51" s="68" t="s">
        <v>203</v>
      </c>
      <c r="C51" s="75"/>
      <c r="D51" s="77"/>
      <c r="E51" s="77"/>
      <c r="F51" s="77"/>
      <c r="G51" s="77"/>
      <c r="H51" s="90"/>
      <c r="I51" s="77"/>
      <c r="J51" s="77"/>
      <c r="K51" s="77"/>
      <c r="L51" s="77"/>
      <c r="M51" s="77"/>
      <c r="N51" s="77"/>
      <c r="O51" s="77">
        <v>22.398458350437139</v>
      </c>
      <c r="P51" s="75"/>
      <c r="Q51" s="75"/>
      <c r="R51" s="75"/>
      <c r="S51" s="75"/>
      <c r="T51" s="76" t="s">
        <v>206</v>
      </c>
      <c r="U51" s="76" t="s">
        <v>206</v>
      </c>
      <c r="V51" s="76" t="s">
        <v>206</v>
      </c>
      <c r="W51" s="76" t="s">
        <v>206</v>
      </c>
      <c r="X51" s="76" t="s">
        <v>206</v>
      </c>
      <c r="Y51" s="76" t="s">
        <v>234</v>
      </c>
      <c r="Z51" s="77"/>
      <c r="AA51" s="77"/>
      <c r="AB51" s="77"/>
      <c r="AC51" s="77"/>
      <c r="AD51" s="119">
        <f>((2.533+0.51)*1.217*0.5+(1.112*1.217)*1+(1.5*0.15*4)*1)*1</f>
        <v>4.104969500000001</v>
      </c>
      <c r="AE51" s="119">
        <f t="shared" ref="AE51:AF56" si="13">AD51*1.044</f>
        <v>4.2855881580000013</v>
      </c>
      <c r="AF51" s="119">
        <f t="shared" si="13"/>
        <v>4.4741540369520019</v>
      </c>
      <c r="AG51" s="104">
        <f t="shared" ref="AG51:AH56" si="14">AF51*1.043</f>
        <v>4.6665426605409372</v>
      </c>
      <c r="AH51" s="119">
        <f t="shared" si="14"/>
        <v>4.8672039949441972</v>
      </c>
      <c r="AI51" s="108">
        <f t="shared" si="12"/>
        <v>22.398458350437139</v>
      </c>
    </row>
    <row r="52" spans="1:35" s="4" customFormat="1" ht="84" customHeight="1">
      <c r="A52" s="67" t="s">
        <v>51</v>
      </c>
      <c r="B52" s="68" t="s">
        <v>55</v>
      </c>
      <c r="C52" s="75"/>
      <c r="D52" s="77"/>
      <c r="E52" s="77"/>
      <c r="F52" s="77"/>
      <c r="G52" s="77"/>
      <c r="H52" s="90"/>
      <c r="I52" s="77"/>
      <c r="J52" s="77"/>
      <c r="K52" s="77"/>
      <c r="L52" s="77"/>
      <c r="M52" s="77"/>
      <c r="N52" s="77"/>
      <c r="O52" s="77">
        <v>49.077881551665286</v>
      </c>
      <c r="P52" s="75"/>
      <c r="Q52" s="75"/>
      <c r="R52" s="75"/>
      <c r="S52" s="75"/>
      <c r="T52" s="76" t="s">
        <v>207</v>
      </c>
      <c r="U52" s="76" t="s">
        <v>207</v>
      </c>
      <c r="V52" s="76" t="s">
        <v>207</v>
      </c>
      <c r="W52" s="76" t="s">
        <v>207</v>
      </c>
      <c r="X52" s="76" t="s">
        <v>207</v>
      </c>
      <c r="Y52" s="76" t="s">
        <v>218</v>
      </c>
      <c r="Z52" s="77"/>
      <c r="AA52" s="77"/>
      <c r="AB52" s="77"/>
      <c r="AC52" s="77"/>
      <c r="AD52" s="119">
        <f>(2.533+0.51)*1.217*0.2+(1.419*1.217)*2+(1.5*0.4*4)*2</f>
        <v>8.9945122000000008</v>
      </c>
      <c r="AE52" s="119">
        <f t="shared" si="13"/>
        <v>9.3902707368000016</v>
      </c>
      <c r="AF52" s="119">
        <f t="shared" si="13"/>
        <v>9.8034426492192015</v>
      </c>
      <c r="AG52" s="104">
        <f t="shared" si="14"/>
        <v>10.224990683135626</v>
      </c>
      <c r="AH52" s="119">
        <f t="shared" si="14"/>
        <v>10.664665282510457</v>
      </c>
      <c r="AI52" s="108">
        <f t="shared" si="12"/>
        <v>49.077881551665286</v>
      </c>
    </row>
    <row r="53" spans="1:35" ht="74.25" customHeight="1">
      <c r="A53" s="67" t="s">
        <v>54</v>
      </c>
      <c r="B53" s="68" t="s">
        <v>178</v>
      </c>
      <c r="C53" s="75"/>
      <c r="D53" s="75"/>
      <c r="E53" s="77"/>
      <c r="F53" s="77"/>
      <c r="G53" s="77"/>
      <c r="H53" s="90"/>
      <c r="I53" s="77"/>
      <c r="J53" s="77"/>
      <c r="K53" s="77"/>
      <c r="L53" s="77"/>
      <c r="M53" s="75"/>
      <c r="N53" s="77"/>
      <c r="O53" s="77">
        <v>45.000633420865789</v>
      </c>
      <c r="P53" s="77"/>
      <c r="Q53" s="77"/>
      <c r="R53" s="77"/>
      <c r="S53" s="77"/>
      <c r="T53" s="76" t="s">
        <v>200</v>
      </c>
      <c r="U53" s="76" t="s">
        <v>200</v>
      </c>
      <c r="V53" s="76" t="s">
        <v>200</v>
      </c>
      <c r="W53" s="76" t="s">
        <v>200</v>
      </c>
      <c r="X53" s="76" t="s">
        <v>200</v>
      </c>
      <c r="Y53" s="76" t="s">
        <v>219</v>
      </c>
      <c r="Z53" s="77"/>
      <c r="AA53" s="77"/>
      <c r="AB53" s="89"/>
      <c r="AC53" s="77"/>
      <c r="AD53" s="119">
        <f>(2.533+0.51)*1.217*0.2+(1.112*1.217)*2+(1.5*0.4*4)*2</f>
        <v>8.2472742000000014</v>
      </c>
      <c r="AE53" s="119">
        <f t="shared" si="13"/>
        <v>8.610154264800002</v>
      </c>
      <c r="AF53" s="119">
        <f t="shared" si="13"/>
        <v>8.9890010524512025</v>
      </c>
      <c r="AG53" s="104">
        <f t="shared" si="14"/>
        <v>9.3755280977066029</v>
      </c>
      <c r="AH53" s="119">
        <f t="shared" si="14"/>
        <v>9.7786758059079855</v>
      </c>
      <c r="AI53" s="108">
        <f t="shared" si="12"/>
        <v>45.000633420865789</v>
      </c>
    </row>
    <row r="54" spans="1:35" ht="67.5" customHeight="1">
      <c r="A54" s="67" t="s">
        <v>58</v>
      </c>
      <c r="B54" s="68" t="s">
        <v>56</v>
      </c>
      <c r="C54" s="75"/>
      <c r="D54" s="75"/>
      <c r="E54" s="77"/>
      <c r="F54" s="77"/>
      <c r="G54" s="77"/>
      <c r="H54" s="90"/>
      <c r="I54" s="77"/>
      <c r="J54" s="77"/>
      <c r="K54" s="77"/>
      <c r="L54" s="77"/>
      <c r="M54" s="75"/>
      <c r="N54" s="77"/>
      <c r="O54" s="77">
        <v>45.000633420865789</v>
      </c>
      <c r="P54" s="77"/>
      <c r="Q54" s="77"/>
      <c r="R54" s="77"/>
      <c r="S54" s="77"/>
      <c r="T54" s="76" t="s">
        <v>200</v>
      </c>
      <c r="U54" s="76" t="s">
        <v>200</v>
      </c>
      <c r="V54" s="76" t="s">
        <v>200</v>
      </c>
      <c r="W54" s="76" t="s">
        <v>200</v>
      </c>
      <c r="X54" s="76" t="s">
        <v>200</v>
      </c>
      <c r="Y54" s="76" t="s">
        <v>219</v>
      </c>
      <c r="Z54" s="77"/>
      <c r="AA54" s="77"/>
      <c r="AB54" s="89"/>
      <c r="AC54" s="77"/>
      <c r="AD54" s="119">
        <f>(2.533+0.51)*1.217*0.2+(1.112*1.217)*2+(1.5*0.4*4)*2</f>
        <v>8.2472742000000014</v>
      </c>
      <c r="AE54" s="119">
        <f t="shared" si="13"/>
        <v>8.610154264800002</v>
      </c>
      <c r="AF54" s="119">
        <f t="shared" si="13"/>
        <v>8.9890010524512025</v>
      </c>
      <c r="AG54" s="104">
        <f t="shared" si="14"/>
        <v>9.3755280977066029</v>
      </c>
      <c r="AH54" s="119">
        <f t="shared" si="14"/>
        <v>9.7786758059079855</v>
      </c>
      <c r="AI54" s="108">
        <f t="shared" si="12"/>
        <v>45.000633420865789</v>
      </c>
    </row>
    <row r="55" spans="1:35" ht="65.25" customHeight="1">
      <c r="A55" s="67" t="s">
        <v>59</v>
      </c>
      <c r="B55" s="68" t="s">
        <v>57</v>
      </c>
      <c r="C55" s="75"/>
      <c r="D55" s="75"/>
      <c r="E55" s="77"/>
      <c r="F55" s="77"/>
      <c r="G55" s="77"/>
      <c r="H55" s="90"/>
      <c r="I55" s="77"/>
      <c r="J55" s="77"/>
      <c r="K55" s="77"/>
      <c r="L55" s="77"/>
      <c r="M55" s="75"/>
      <c r="N55" s="77"/>
      <c r="O55" s="77">
        <v>33.856950925331539</v>
      </c>
      <c r="P55" s="77"/>
      <c r="Q55" s="77"/>
      <c r="R55" s="77"/>
      <c r="S55" s="77"/>
      <c r="T55" s="76" t="s">
        <v>208</v>
      </c>
      <c r="U55" s="76" t="s">
        <v>208</v>
      </c>
      <c r="V55" s="76" t="s">
        <v>208</v>
      </c>
      <c r="W55" s="76" t="s">
        <v>208</v>
      </c>
      <c r="X55" s="76" t="s">
        <v>208</v>
      </c>
      <c r="Y55" s="76" t="s">
        <v>222</v>
      </c>
      <c r="Z55" s="77"/>
      <c r="AA55" s="77"/>
      <c r="AB55" s="77"/>
      <c r="AC55" s="77"/>
      <c r="AD55" s="119">
        <f>(2.533+0.51)*1.217*0.5+(1.112*1.217)*1+(1.5*0.5*4)*1</f>
        <v>6.2049695000000007</v>
      </c>
      <c r="AE55" s="119">
        <f t="shared" si="13"/>
        <v>6.4779881580000014</v>
      </c>
      <c r="AF55" s="119">
        <f t="shared" si="13"/>
        <v>6.7630196369520013</v>
      </c>
      <c r="AG55" s="104">
        <f t="shared" si="14"/>
        <v>7.0538294813409372</v>
      </c>
      <c r="AH55" s="119">
        <f t="shared" si="14"/>
        <v>7.3571441490385974</v>
      </c>
      <c r="AI55" s="108">
        <f t="shared" si="12"/>
        <v>33.856950925331539</v>
      </c>
    </row>
    <row r="56" spans="1:35" ht="57" customHeight="1">
      <c r="A56" s="67" t="s">
        <v>61</v>
      </c>
      <c r="B56" s="68" t="s">
        <v>60</v>
      </c>
      <c r="C56" s="75"/>
      <c r="D56" s="75"/>
      <c r="E56" s="77"/>
      <c r="F56" s="77"/>
      <c r="G56" s="77"/>
      <c r="H56" s="90"/>
      <c r="I56" s="77"/>
      <c r="J56" s="77"/>
      <c r="K56" s="77"/>
      <c r="L56" s="77"/>
      <c r="M56" s="75"/>
      <c r="N56" s="77"/>
      <c r="O56" s="77">
        <v>59.079170398249445</v>
      </c>
      <c r="P56" s="77"/>
      <c r="Q56" s="77"/>
      <c r="R56" s="77"/>
      <c r="S56" s="77"/>
      <c r="T56" s="76" t="s">
        <v>209</v>
      </c>
      <c r="U56" s="76" t="s">
        <v>209</v>
      </c>
      <c r="V56" s="76" t="s">
        <v>209</v>
      </c>
      <c r="W56" s="76" t="s">
        <v>209</v>
      </c>
      <c r="X56" s="76" t="s">
        <v>209</v>
      </c>
      <c r="Y56" s="76" t="s">
        <v>217</v>
      </c>
      <c r="Z56" s="77"/>
      <c r="AA56" s="77"/>
      <c r="AB56" s="77"/>
      <c r="AC56" s="77"/>
      <c r="AD56" s="119">
        <f>((2.533+0.51)*1.217*0.2+(1.419*1.217)*1+(1.5*0.1*4)*1)*2+((0.591+2.25+0.611)*1.193*1+48.117*1.193*0.01)*1</f>
        <v>10.827450210000002</v>
      </c>
      <c r="AE56" s="119">
        <f t="shared" si="13"/>
        <v>11.303858019240003</v>
      </c>
      <c r="AF56" s="119">
        <f t="shared" si="13"/>
        <v>11.801227772086564</v>
      </c>
      <c r="AG56" s="104">
        <f t="shared" si="14"/>
        <v>12.308680566286286</v>
      </c>
      <c r="AH56" s="119">
        <f t="shared" si="14"/>
        <v>12.837953830636595</v>
      </c>
      <c r="AI56" s="108">
        <f t="shared" si="12"/>
        <v>59.079170398249445</v>
      </c>
    </row>
    <row r="57" spans="1:35" ht="65.25" customHeight="1">
      <c r="A57" s="67" t="s">
        <v>62</v>
      </c>
      <c r="B57" s="68" t="s">
        <v>204</v>
      </c>
      <c r="C57" s="75"/>
      <c r="D57" s="75"/>
      <c r="E57" s="77"/>
      <c r="F57" s="77"/>
      <c r="G57" s="77"/>
      <c r="H57" s="90"/>
      <c r="I57" s="77"/>
      <c r="J57" s="77"/>
      <c r="K57" s="77"/>
      <c r="L57" s="77"/>
      <c r="M57" s="75"/>
      <c r="N57" s="77"/>
      <c r="O57" s="77">
        <v>120.3154245195141</v>
      </c>
      <c r="P57" s="77"/>
      <c r="Q57" s="77"/>
      <c r="R57" s="77"/>
      <c r="S57" s="77"/>
      <c r="T57" s="76"/>
      <c r="U57" s="76"/>
      <c r="V57" s="76" t="s">
        <v>238</v>
      </c>
      <c r="W57" s="76"/>
      <c r="X57" s="70"/>
      <c r="Y57" s="76" t="s">
        <v>238</v>
      </c>
      <c r="Z57" s="77"/>
      <c r="AA57" s="77"/>
      <c r="AB57" s="77"/>
      <c r="AC57" s="77"/>
      <c r="AD57" s="119">
        <f>1</f>
        <v>1</v>
      </c>
      <c r="AE57" s="119">
        <f>((8.863*9.9+0.357*9.9)*1.217)*0.345*1.044</f>
        <v>40.010712718680004</v>
      </c>
      <c r="AF57" s="119">
        <f>((8.863*9.9+0.357*9.9)*1.217)*0.655*1.044*1.044</f>
        <v>79.304711800834085</v>
      </c>
      <c r="AG57" s="119"/>
      <c r="AH57" s="119"/>
      <c r="AI57" s="108">
        <f t="shared" si="12"/>
        <v>120.3154245195141</v>
      </c>
    </row>
    <row r="58" spans="1:35" s="4" customFormat="1" ht="76.5" customHeight="1">
      <c r="A58" s="67" t="s">
        <v>63</v>
      </c>
      <c r="B58" s="72" t="s">
        <v>196</v>
      </c>
      <c r="C58" s="75"/>
      <c r="D58" s="75"/>
      <c r="E58" s="77"/>
      <c r="F58" s="77"/>
      <c r="G58" s="77"/>
      <c r="H58" s="90"/>
      <c r="I58" s="77"/>
      <c r="J58" s="77"/>
      <c r="K58" s="77"/>
      <c r="L58" s="77"/>
      <c r="M58" s="75"/>
      <c r="N58" s="77"/>
      <c r="O58" s="77">
        <v>13.766677529732016</v>
      </c>
      <c r="P58" s="77"/>
      <c r="Q58" s="77"/>
      <c r="R58" s="77"/>
      <c r="S58" s="77"/>
      <c r="T58" s="76"/>
      <c r="U58" s="76"/>
      <c r="V58" s="76"/>
      <c r="W58" s="70"/>
      <c r="X58" s="76" t="s">
        <v>78</v>
      </c>
      <c r="Y58" s="76" t="s">
        <v>233</v>
      </c>
      <c r="Z58" s="77"/>
      <c r="AA58" s="77"/>
      <c r="AB58" s="77"/>
      <c r="AC58" s="77"/>
      <c r="AD58" s="119"/>
      <c r="AE58" s="119"/>
      <c r="AF58" s="119"/>
      <c r="AG58" s="119">
        <f>0.611*1.193-0.205</f>
        <v>0.52392300000000003</v>
      </c>
      <c r="AH58" s="119">
        <f>0.206+(1.101*1+2.133*1*2+48.117*0.01*4*2)*1.193*1.044*1.044*1.043*1.043</f>
        <v>13.242754529732016</v>
      </c>
      <c r="AI58" s="108">
        <f t="shared" si="12"/>
        <v>13.766677529732016</v>
      </c>
    </row>
    <row r="59" spans="1:35" s="4" customFormat="1" ht="60" customHeight="1">
      <c r="A59" s="67" t="s">
        <v>64</v>
      </c>
      <c r="B59" s="72" t="s">
        <v>197</v>
      </c>
      <c r="C59" s="75"/>
      <c r="D59" s="75"/>
      <c r="E59" s="77"/>
      <c r="F59" s="77"/>
      <c r="G59" s="77"/>
      <c r="H59" s="90"/>
      <c r="I59" s="77"/>
      <c r="J59" s="77"/>
      <c r="K59" s="77"/>
      <c r="L59" s="77"/>
      <c r="M59" s="75"/>
      <c r="N59" s="77"/>
      <c r="O59" s="77">
        <v>39.498974818868291</v>
      </c>
      <c r="P59" s="77"/>
      <c r="Q59" s="77"/>
      <c r="R59" s="77"/>
      <c r="S59" s="77"/>
      <c r="T59" s="76"/>
      <c r="U59" s="76"/>
      <c r="V59" s="76"/>
      <c r="W59" s="70"/>
      <c r="X59" s="76" t="s">
        <v>210</v>
      </c>
      <c r="Y59" s="76" t="s">
        <v>210</v>
      </c>
      <c r="Z59" s="77"/>
      <c r="AA59" s="77"/>
      <c r="AB59" s="77"/>
      <c r="AC59" s="77"/>
      <c r="AD59" s="119"/>
      <c r="AE59" s="119"/>
      <c r="AF59" s="119"/>
      <c r="AG59" s="119">
        <f>27.716*0.3*1.217*1.044*1.044*1.043</f>
        <v>11.503438933754477</v>
      </c>
      <c r="AH59" s="119">
        <f>27.716*0.7*1.217*1.044*1.044*1.043*1.043</f>
        <v>27.99553588511381</v>
      </c>
      <c r="AI59" s="108">
        <f t="shared" si="12"/>
        <v>39.498974818868291</v>
      </c>
    </row>
    <row r="60" spans="1:35" s="4" customFormat="1" ht="60" customHeight="1">
      <c r="A60" s="67" t="s">
        <v>264</v>
      </c>
      <c r="B60" s="72" t="s">
        <v>268</v>
      </c>
      <c r="C60" s="75"/>
      <c r="D60" s="75"/>
      <c r="E60" s="77"/>
      <c r="F60" s="77"/>
      <c r="G60" s="77"/>
      <c r="H60" s="90"/>
      <c r="I60" s="77"/>
      <c r="J60" s="77"/>
      <c r="K60" s="77"/>
      <c r="L60" s="77"/>
      <c r="M60" s="75"/>
      <c r="N60" s="77"/>
      <c r="O60" s="77">
        <v>212.79599999999999</v>
      </c>
      <c r="P60" s="77"/>
      <c r="Q60" s="77"/>
      <c r="R60" s="77"/>
      <c r="S60" s="77"/>
      <c r="T60" s="76"/>
      <c r="U60" s="76"/>
      <c r="V60" s="76"/>
      <c r="W60" s="76" t="s">
        <v>269</v>
      </c>
      <c r="X60" s="76"/>
      <c r="Y60" s="76" t="str">
        <f>W60</f>
        <v>12,6 МВА
0,5 км</v>
      </c>
      <c r="Z60" s="77"/>
      <c r="AA60" s="77"/>
      <c r="AB60" s="77"/>
      <c r="AC60" s="77"/>
      <c r="AD60" s="104">
        <v>4.3068558125000003</v>
      </c>
      <c r="AE60" s="104">
        <v>46.769577710129994</v>
      </c>
      <c r="AF60" s="104">
        <v>82.236259018833849</v>
      </c>
      <c r="AG60" s="104">
        <v>79.482893642044985</v>
      </c>
      <c r="AH60" s="104"/>
      <c r="AI60" s="77">
        <f>AD60+AE60+AF60+AG60+AH60</f>
        <v>212.79558618350882</v>
      </c>
    </row>
    <row r="61" spans="1:35" s="4" customFormat="1" ht="79.95" customHeight="1">
      <c r="A61" s="67" t="s">
        <v>265</v>
      </c>
      <c r="B61" s="72" t="s">
        <v>275</v>
      </c>
      <c r="C61" s="75"/>
      <c r="D61" s="75"/>
      <c r="E61" s="77"/>
      <c r="F61" s="77"/>
      <c r="G61" s="77"/>
      <c r="H61" s="90"/>
      <c r="I61" s="77"/>
      <c r="J61" s="77"/>
      <c r="K61" s="77"/>
      <c r="L61" s="77"/>
      <c r="M61" s="75"/>
      <c r="N61" s="77"/>
      <c r="O61" s="77">
        <v>179.72900000000001</v>
      </c>
      <c r="P61" s="77"/>
      <c r="Q61" s="77"/>
      <c r="R61" s="77"/>
      <c r="S61" s="77"/>
      <c r="T61" s="76" t="s">
        <v>276</v>
      </c>
      <c r="U61" s="76" t="s">
        <v>277</v>
      </c>
      <c r="V61" s="76" t="s">
        <v>278</v>
      </c>
      <c r="W61" s="76" t="s">
        <v>279</v>
      </c>
      <c r="X61" s="76" t="s">
        <v>280</v>
      </c>
      <c r="Y61" s="76" t="s">
        <v>281</v>
      </c>
      <c r="Z61" s="77"/>
      <c r="AA61" s="77"/>
      <c r="AB61" s="77"/>
      <c r="AC61" s="77"/>
      <c r="AD61" s="104">
        <v>65.404349124999996</v>
      </c>
      <c r="AE61" s="104">
        <v>24.267128152499996</v>
      </c>
      <c r="AF61" s="104">
        <v>6.4267428545532006</v>
      </c>
      <c r="AG61" s="104">
        <v>21.005367445684087</v>
      </c>
      <c r="AH61" s="104">
        <v>62.6255949435891</v>
      </c>
      <c r="AI61" s="77">
        <f>AD61+AE61+AF61+AG61+AH61</f>
        <v>179.72918252132638</v>
      </c>
    </row>
    <row r="62" spans="1:35" s="4" customFormat="1" ht="90" customHeight="1">
      <c r="A62" s="67" t="s">
        <v>266</v>
      </c>
      <c r="B62" s="72" t="s">
        <v>271</v>
      </c>
      <c r="C62" s="75"/>
      <c r="D62" s="75"/>
      <c r="E62" s="77"/>
      <c r="F62" s="77"/>
      <c r="G62" s="77"/>
      <c r="H62" s="90"/>
      <c r="I62" s="77"/>
      <c r="J62" s="77"/>
      <c r="K62" s="77"/>
      <c r="L62" s="77"/>
      <c r="M62" s="75"/>
      <c r="N62" s="77"/>
      <c r="O62" s="77">
        <v>160.50399999999999</v>
      </c>
      <c r="P62" s="77"/>
      <c r="Q62" s="77"/>
      <c r="R62" s="77"/>
      <c r="S62" s="77"/>
      <c r="T62" s="76"/>
      <c r="U62" s="76" t="s">
        <v>270</v>
      </c>
      <c r="V62" s="76" t="s">
        <v>272</v>
      </c>
      <c r="W62" s="76" t="s">
        <v>273</v>
      </c>
      <c r="X62" s="76" t="s">
        <v>272</v>
      </c>
      <c r="Y62" s="76" t="s">
        <v>274</v>
      </c>
      <c r="Z62" s="77"/>
      <c r="AA62" s="77"/>
      <c r="AB62" s="77"/>
      <c r="AC62" s="77"/>
      <c r="AD62" s="104">
        <v>39.01664555</v>
      </c>
      <c r="AE62" s="104">
        <v>32.613537454199999</v>
      </c>
      <c r="AF62" s="104">
        <v>25.40143559692811</v>
      </c>
      <c r="AG62" s="104">
        <v>14.75631651403544</v>
      </c>
      <c r="AH62" s="104">
        <v>48.715925082593152</v>
      </c>
      <c r="AI62" s="77">
        <f>AD62+AE62+AF62+AG62+AH62</f>
        <v>160.50386019775669</v>
      </c>
    </row>
    <row r="63" spans="1:35" s="4" customFormat="1" ht="90" customHeight="1">
      <c r="A63" s="67" t="s">
        <v>267</v>
      </c>
      <c r="B63" s="72" t="s">
        <v>288</v>
      </c>
      <c r="C63" s="75"/>
      <c r="D63" s="75"/>
      <c r="E63" s="77"/>
      <c r="F63" s="77"/>
      <c r="G63" s="77"/>
      <c r="H63" s="90"/>
      <c r="I63" s="77"/>
      <c r="J63" s="77"/>
      <c r="K63" s="77"/>
      <c r="L63" s="77"/>
      <c r="M63" s="75"/>
      <c r="N63" s="77"/>
      <c r="O63" s="77">
        <v>84.066999999999993</v>
      </c>
      <c r="P63" s="77"/>
      <c r="Q63" s="77"/>
      <c r="R63" s="77"/>
      <c r="S63" s="77"/>
      <c r="T63" s="76" t="s">
        <v>283</v>
      </c>
      <c r="U63" s="76" t="s">
        <v>282</v>
      </c>
      <c r="V63" s="76" t="s">
        <v>285</v>
      </c>
      <c r="W63" s="76" t="s">
        <v>284</v>
      </c>
      <c r="X63" s="76" t="s">
        <v>286</v>
      </c>
      <c r="Y63" s="76" t="s">
        <v>287</v>
      </c>
      <c r="Z63" s="77"/>
      <c r="AA63" s="77"/>
      <c r="AB63" s="77"/>
      <c r="AC63" s="77"/>
      <c r="AD63" s="104">
        <v>11.27215</v>
      </c>
      <c r="AE63" s="104">
        <v>19.949757000000002</v>
      </c>
      <c r="AF63" s="104">
        <v>13.243562568000002</v>
      </c>
      <c r="AG63" s="104">
        <v>15.882162303376001</v>
      </c>
      <c r="AH63" s="104">
        <v>23.71953681577947</v>
      </c>
      <c r="AI63" s="77">
        <f>AD63+AE63+AF63+AG63+AH63</f>
        <v>84.067168687155473</v>
      </c>
    </row>
    <row r="64" spans="1:35" ht="18">
      <c r="A64" s="67" t="s">
        <v>28</v>
      </c>
      <c r="B64" s="76"/>
      <c r="C64" s="77"/>
      <c r="D64" s="77"/>
      <c r="E64" s="77"/>
      <c r="F64" s="77"/>
      <c r="G64" s="77"/>
      <c r="H64" s="90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108"/>
      <c r="Y64" s="108"/>
      <c r="Z64" s="108"/>
      <c r="AA64" s="108"/>
      <c r="AB64" s="89"/>
      <c r="AC64" s="108"/>
      <c r="AD64" s="108"/>
      <c r="AE64" s="108"/>
      <c r="AF64" s="108"/>
      <c r="AG64" s="108"/>
      <c r="AH64" s="71"/>
      <c r="AI64" s="108"/>
    </row>
    <row r="65" spans="1:219" ht="18">
      <c r="A65" s="85" t="s">
        <v>65</v>
      </c>
      <c r="B65" s="107" t="s">
        <v>66</v>
      </c>
      <c r="C65" s="77"/>
      <c r="D65" s="77"/>
      <c r="E65" s="77"/>
      <c r="F65" s="77"/>
      <c r="G65" s="77"/>
      <c r="H65" s="90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108"/>
      <c r="Y65" s="108"/>
      <c r="Z65" s="108"/>
      <c r="AA65" s="108"/>
      <c r="AB65" s="89"/>
      <c r="AC65" s="108"/>
      <c r="AD65" s="108"/>
      <c r="AE65" s="108"/>
      <c r="AF65" s="108"/>
      <c r="AG65" s="108"/>
      <c r="AH65" s="71"/>
      <c r="AI65" s="108"/>
    </row>
    <row r="66" spans="1:219" ht="18">
      <c r="A66" s="84" t="s">
        <v>33</v>
      </c>
      <c r="B66" s="68" t="s">
        <v>31</v>
      </c>
      <c r="C66" s="77"/>
      <c r="D66" s="77"/>
      <c r="E66" s="77"/>
      <c r="F66" s="77"/>
      <c r="G66" s="77"/>
      <c r="H66" s="90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71"/>
      <c r="AI66" s="108"/>
    </row>
    <row r="67" spans="1:219" ht="18">
      <c r="A67" s="84"/>
      <c r="B67" s="68" t="s">
        <v>67</v>
      </c>
      <c r="C67" s="77"/>
      <c r="D67" s="77"/>
      <c r="E67" s="77"/>
      <c r="F67" s="77"/>
      <c r="G67" s="77"/>
      <c r="H67" s="90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71"/>
      <c r="AI67" s="108"/>
    </row>
    <row r="68" spans="1:219" ht="18">
      <c r="A68" s="84" t="s">
        <v>34</v>
      </c>
      <c r="B68" s="68" t="s">
        <v>32</v>
      </c>
      <c r="C68" s="77"/>
      <c r="D68" s="77"/>
      <c r="E68" s="77"/>
      <c r="F68" s="77"/>
      <c r="G68" s="77"/>
      <c r="H68" s="90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71"/>
      <c r="AI68" s="108"/>
    </row>
    <row r="69" spans="1:219" ht="18">
      <c r="A69" s="84"/>
      <c r="B69" s="68" t="s">
        <v>67</v>
      </c>
      <c r="C69" s="77"/>
      <c r="D69" s="77"/>
      <c r="E69" s="77"/>
      <c r="F69" s="77"/>
      <c r="G69" s="77"/>
      <c r="H69" s="90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71"/>
      <c r="AI69" s="108"/>
    </row>
    <row r="70" spans="1:219" ht="18">
      <c r="A70" s="67" t="s">
        <v>28</v>
      </c>
      <c r="B70" s="76"/>
      <c r="C70" s="77"/>
      <c r="D70" s="77"/>
      <c r="E70" s="77"/>
      <c r="F70" s="77"/>
      <c r="G70" s="77"/>
      <c r="H70" s="90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71"/>
      <c r="AI70" s="108"/>
    </row>
    <row r="71" spans="1:219" ht="18">
      <c r="A71" s="132" t="s">
        <v>68</v>
      </c>
      <c r="B71" s="132"/>
      <c r="C71" s="77"/>
      <c r="D71" s="77"/>
      <c r="E71" s="77"/>
      <c r="F71" s="77"/>
      <c r="G71" s="77"/>
      <c r="H71" s="90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71"/>
      <c r="AI71" s="108"/>
    </row>
    <row r="72" spans="1:219" ht="34.799999999999997">
      <c r="A72" s="84"/>
      <c r="B72" s="107" t="s">
        <v>69</v>
      </c>
      <c r="C72" s="77"/>
      <c r="D72" s="77"/>
      <c r="E72" s="77"/>
      <c r="F72" s="77"/>
      <c r="G72" s="77"/>
      <c r="H72" s="90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71"/>
      <c r="AI72" s="108"/>
    </row>
    <row r="73" spans="1:219" ht="18">
      <c r="A73" s="67" t="s">
        <v>33</v>
      </c>
      <c r="B73" s="68" t="s">
        <v>31</v>
      </c>
      <c r="C73" s="77"/>
      <c r="D73" s="77"/>
      <c r="E73" s="77"/>
      <c r="F73" s="77"/>
      <c r="G73" s="77"/>
      <c r="H73" s="90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71"/>
      <c r="AI73" s="108"/>
    </row>
    <row r="74" spans="1:219" ht="18">
      <c r="A74" s="67" t="s">
        <v>34</v>
      </c>
      <c r="B74" s="68" t="s">
        <v>32</v>
      </c>
      <c r="C74" s="77"/>
      <c r="D74" s="77"/>
      <c r="E74" s="77"/>
      <c r="F74" s="77"/>
      <c r="G74" s="77"/>
      <c r="H74" s="90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71"/>
      <c r="AI74" s="108"/>
    </row>
    <row r="75" spans="1:219" ht="18">
      <c r="A75" s="67" t="s">
        <v>28</v>
      </c>
      <c r="B75" s="76"/>
      <c r="C75" s="77"/>
      <c r="D75" s="77"/>
      <c r="E75" s="77"/>
      <c r="F75" s="77"/>
      <c r="G75" s="77"/>
      <c r="H75" s="90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71"/>
      <c r="AI75" s="108"/>
    </row>
    <row r="76" spans="1:219" ht="23.4">
      <c r="O76" s="19"/>
      <c r="P76" s="19"/>
      <c r="Q76" s="19"/>
      <c r="R76" s="19"/>
      <c r="S76" s="20"/>
      <c r="AB76" s="9"/>
      <c r="AC76" s="9"/>
      <c r="AD76" s="9"/>
      <c r="AE76" s="9"/>
      <c r="AF76" s="10"/>
    </row>
    <row r="77" spans="1:219" s="23" customFormat="1">
      <c r="A77" s="45" t="s">
        <v>121</v>
      </c>
      <c r="B77" s="51" t="s">
        <v>122</v>
      </c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</row>
    <row r="78" spans="1:219" s="23" customFormat="1">
      <c r="A78" s="45" t="s">
        <v>123</v>
      </c>
      <c r="B78" s="52" t="s">
        <v>124</v>
      </c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3"/>
      <c r="AH78" s="123"/>
      <c r="AI78" s="123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  <c r="EV78" s="24"/>
      <c r="EW78" s="24"/>
      <c r="EX78" s="24"/>
      <c r="EY78" s="24"/>
      <c r="EZ78" s="24"/>
      <c r="FA78" s="24"/>
      <c r="FB78" s="24"/>
      <c r="FC78" s="24"/>
      <c r="FD78" s="24"/>
      <c r="FE78" s="24"/>
      <c r="FF78" s="24"/>
      <c r="FG78" s="24"/>
      <c r="FH78" s="24"/>
      <c r="FI78" s="24"/>
      <c r="FJ78" s="24"/>
      <c r="FK78" s="24"/>
      <c r="FL78" s="24"/>
      <c r="FM78" s="24"/>
      <c r="FN78" s="24"/>
      <c r="FO78" s="24"/>
      <c r="FP78" s="24"/>
      <c r="FQ78" s="24"/>
      <c r="FR78" s="24"/>
      <c r="FS78" s="24"/>
      <c r="FT78" s="24"/>
      <c r="FU78" s="24"/>
      <c r="FV78" s="24"/>
      <c r="FW78" s="24"/>
      <c r="FX78" s="24"/>
      <c r="FY78" s="24"/>
      <c r="FZ78" s="24"/>
      <c r="GA78" s="24"/>
      <c r="GB78" s="24"/>
      <c r="GC78" s="24"/>
      <c r="GD78" s="24"/>
      <c r="GE78" s="24"/>
      <c r="GF78" s="24"/>
      <c r="GG78" s="24"/>
      <c r="GH78" s="24"/>
      <c r="GI78" s="24"/>
      <c r="GJ78" s="24"/>
      <c r="GK78" s="24"/>
      <c r="GL78" s="24"/>
      <c r="GM78" s="24"/>
      <c r="GN78" s="24"/>
      <c r="GO78" s="24"/>
      <c r="GP78" s="24"/>
      <c r="GQ78" s="24"/>
      <c r="GR78" s="24"/>
      <c r="GS78" s="24"/>
      <c r="GT78" s="24"/>
      <c r="GU78" s="24"/>
      <c r="GV78" s="24"/>
      <c r="GW78" s="24"/>
      <c r="GX78" s="24"/>
      <c r="GY78" s="24"/>
      <c r="GZ78" s="24"/>
      <c r="HA78" s="24"/>
      <c r="HB78" s="24"/>
      <c r="HC78" s="24"/>
      <c r="HD78" s="24"/>
      <c r="HE78" s="24"/>
      <c r="HF78" s="24"/>
      <c r="HG78" s="24"/>
      <c r="HH78" s="24"/>
      <c r="HI78" s="24"/>
      <c r="HJ78" s="24"/>
      <c r="HK78" s="24"/>
    </row>
    <row r="79" spans="1:219" s="23" customFormat="1">
      <c r="A79" s="45" t="s">
        <v>125</v>
      </c>
      <c r="B79" s="51" t="s">
        <v>126</v>
      </c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</row>
    <row r="80" spans="1:219" s="23" customFormat="1" ht="27" customHeight="1">
      <c r="A80" s="46"/>
      <c r="B80" s="51" t="s">
        <v>175</v>
      </c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</row>
    <row r="81" spans="2:2">
      <c r="B81" s="3"/>
    </row>
  </sheetData>
  <mergeCells count="32">
    <mergeCell ref="AG7:AI7"/>
    <mergeCell ref="AG1:AI1"/>
    <mergeCell ref="AG2:AI2"/>
    <mergeCell ref="AG3:AI3"/>
    <mergeCell ref="AG4:AI4"/>
    <mergeCell ref="AG5:AI5"/>
    <mergeCell ref="O13:O15"/>
    <mergeCell ref="A10:AI10"/>
    <mergeCell ref="A11:AI11"/>
    <mergeCell ref="U14:U15"/>
    <mergeCell ref="P16:Y16"/>
    <mergeCell ref="Z14:AD14"/>
    <mergeCell ref="AE14:AE15"/>
    <mergeCell ref="AF14:AF15"/>
    <mergeCell ref="P13:AI13"/>
    <mergeCell ref="P14:T14"/>
    <mergeCell ref="C13:H14"/>
    <mergeCell ref="I13:N14"/>
    <mergeCell ref="V14:V15"/>
    <mergeCell ref="W14:W15"/>
    <mergeCell ref="X14:X15"/>
    <mergeCell ref="Y14:Y15"/>
    <mergeCell ref="A71:B71"/>
    <mergeCell ref="C15:H15"/>
    <mergeCell ref="B13:B15"/>
    <mergeCell ref="A13:A15"/>
    <mergeCell ref="I15:N15"/>
    <mergeCell ref="AF8:AI8"/>
    <mergeCell ref="AH14:AH15"/>
    <mergeCell ref="AI14:AI15"/>
    <mergeCell ref="Z16:AI16"/>
    <mergeCell ref="AG14:AG1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51"/>
  <sheetViews>
    <sheetView zoomScale="40" zoomScaleNormal="40" zoomScaleSheetLayoutView="40" workbookViewId="0">
      <selection activeCell="Y3" sqref="Y3:AA3"/>
    </sheetView>
  </sheetViews>
  <sheetFormatPr defaultRowHeight="15.6"/>
  <cols>
    <col min="1" max="1" width="10.44140625" style="18" customWidth="1"/>
    <col min="2" max="2" width="50.88671875" style="4" customWidth="1"/>
    <col min="3" max="3" width="19.88671875" style="4" customWidth="1"/>
    <col min="4" max="4" width="25" style="4" customWidth="1"/>
    <col min="5" max="5" width="16.6640625" style="4" customWidth="1"/>
    <col min="6" max="6" width="15.6640625" style="4" customWidth="1"/>
    <col min="7" max="7" width="12.33203125" style="4" customWidth="1"/>
    <col min="8" max="8" width="7.5546875" style="4" customWidth="1"/>
    <col min="9" max="10" width="14.109375" style="4" customWidth="1"/>
    <col min="11" max="11" width="11.44140625" style="4" customWidth="1"/>
    <col min="12" max="12" width="13.44140625" style="4" customWidth="1"/>
    <col min="13" max="13" width="13.109375" style="4" customWidth="1"/>
    <col min="14" max="14" width="12.6640625" style="4" customWidth="1"/>
    <col min="15" max="15" width="14.33203125" style="4" customWidth="1"/>
    <col min="16" max="16" width="16.6640625" style="4" customWidth="1"/>
    <col min="17" max="17" width="17.5546875" style="29" customWidth="1"/>
    <col min="18" max="18" width="19" style="4" customWidth="1"/>
    <col min="19" max="19" width="20.109375" style="4" customWidth="1"/>
    <col min="20" max="20" width="18.6640625" style="4" customWidth="1"/>
    <col min="21" max="21" width="6.6640625" style="4" customWidth="1"/>
    <col min="22" max="22" width="6.88671875" style="4" customWidth="1"/>
    <col min="23" max="23" width="21.5546875" style="4" customWidth="1"/>
    <col min="24" max="24" width="10.5546875" style="5" customWidth="1"/>
    <col min="25" max="25" width="10" style="5" customWidth="1"/>
    <col min="26" max="26" width="10.88671875" style="5" customWidth="1"/>
    <col min="27" max="27" width="12.44140625" style="5" customWidth="1"/>
  </cols>
  <sheetData>
    <row r="1" spans="1:27" ht="51" customHeight="1">
      <c r="X1" s="4"/>
      <c r="Y1" s="135" t="s">
        <v>94</v>
      </c>
      <c r="Z1" s="135"/>
      <c r="AA1" s="135"/>
    </row>
    <row r="2" spans="1:27" ht="18">
      <c r="X2" s="4"/>
      <c r="Y2" s="136" t="s">
        <v>12</v>
      </c>
      <c r="Z2" s="136"/>
      <c r="AA2" s="136"/>
    </row>
    <row r="3" spans="1:27" ht="18">
      <c r="X3" s="4"/>
      <c r="Y3" s="136" t="s">
        <v>292</v>
      </c>
      <c r="Z3" s="136"/>
      <c r="AA3" s="136"/>
    </row>
    <row r="4" spans="1:27" ht="18.75" customHeight="1">
      <c r="X4" s="4"/>
      <c r="Y4" s="137" t="s">
        <v>176</v>
      </c>
      <c r="Z4" s="137"/>
      <c r="AA4" s="137"/>
    </row>
    <row r="5" spans="1:27" ht="18">
      <c r="X5" s="4"/>
      <c r="Y5" s="138" t="s">
        <v>256</v>
      </c>
      <c r="Z5" s="138"/>
      <c r="AA5" s="138"/>
    </row>
    <row r="6" spans="1:27" ht="18">
      <c r="X6" s="4"/>
      <c r="Y6" s="93"/>
      <c r="Z6" s="93"/>
      <c r="AA6" s="60"/>
    </row>
    <row r="7" spans="1:27" ht="18">
      <c r="X7" s="4"/>
      <c r="Y7" s="134" t="s">
        <v>13</v>
      </c>
      <c r="Z7" s="134"/>
      <c r="AA7" s="134"/>
    </row>
    <row r="8" spans="1:27" ht="18">
      <c r="V8" s="58"/>
      <c r="W8" s="58"/>
      <c r="X8" s="129" t="s">
        <v>263</v>
      </c>
      <c r="Y8" s="129"/>
      <c r="Z8" s="129"/>
      <c r="AA8" s="129"/>
    </row>
    <row r="9" spans="1:27" ht="18">
      <c r="X9" s="4"/>
      <c r="Y9" s="59"/>
      <c r="Z9" s="59"/>
      <c r="AA9" s="61" t="s">
        <v>14</v>
      </c>
    </row>
    <row r="10" spans="1:27" ht="22.8">
      <c r="A10" s="130" t="s">
        <v>258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</row>
    <row r="11" spans="1:27" ht="22.8">
      <c r="A11" s="130" t="s">
        <v>247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</row>
    <row r="12" spans="1:27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03"/>
      <c r="R12" s="2"/>
      <c r="S12" s="2"/>
      <c r="T12" s="2"/>
      <c r="U12" s="2"/>
      <c r="V12" s="2"/>
      <c r="W12" s="2"/>
    </row>
    <row r="13" spans="1:27" ht="58.5" customHeight="1">
      <c r="A13" s="131" t="s">
        <v>0</v>
      </c>
      <c r="B13" s="131" t="s">
        <v>95</v>
      </c>
      <c r="C13" s="131" t="s">
        <v>96</v>
      </c>
      <c r="D13" s="142" t="s">
        <v>97</v>
      </c>
      <c r="E13" s="131" t="s">
        <v>98</v>
      </c>
      <c r="F13" s="131"/>
      <c r="G13" s="131"/>
      <c r="H13" s="145" t="s">
        <v>99</v>
      </c>
      <c r="I13" s="131" t="s">
        <v>101</v>
      </c>
      <c r="J13" s="131"/>
      <c r="K13" s="131" t="s">
        <v>102</v>
      </c>
      <c r="L13" s="131"/>
      <c r="M13" s="131"/>
      <c r="N13" s="131"/>
      <c r="O13" s="142" t="s">
        <v>106</v>
      </c>
      <c r="P13" s="131" t="s">
        <v>139</v>
      </c>
      <c r="Q13" s="131" t="s">
        <v>107</v>
      </c>
      <c r="R13" s="131"/>
      <c r="S13" s="131" t="s">
        <v>109</v>
      </c>
      <c r="T13" s="131"/>
      <c r="U13" s="131" t="s">
        <v>110</v>
      </c>
      <c r="V13" s="131"/>
      <c r="W13" s="131"/>
      <c r="X13" s="131" t="s">
        <v>113</v>
      </c>
      <c r="Y13" s="131"/>
      <c r="Z13" s="131"/>
      <c r="AA13" s="131"/>
    </row>
    <row r="14" spans="1:27" ht="48.75" customHeight="1">
      <c r="A14" s="131"/>
      <c r="B14" s="131"/>
      <c r="C14" s="131"/>
      <c r="D14" s="143"/>
      <c r="E14" s="142" t="s">
        <v>186</v>
      </c>
      <c r="F14" s="142" t="s">
        <v>100</v>
      </c>
      <c r="G14" s="142" t="s">
        <v>138</v>
      </c>
      <c r="H14" s="146"/>
      <c r="I14" s="131" t="s">
        <v>187</v>
      </c>
      <c r="J14" s="131" t="s">
        <v>188</v>
      </c>
      <c r="K14" s="152" t="s">
        <v>104</v>
      </c>
      <c r="L14" s="152" t="s">
        <v>103</v>
      </c>
      <c r="M14" s="145" t="s">
        <v>189</v>
      </c>
      <c r="N14" s="152" t="s">
        <v>105</v>
      </c>
      <c r="O14" s="143"/>
      <c r="P14" s="131"/>
      <c r="Q14" s="153" t="s">
        <v>108</v>
      </c>
      <c r="R14" s="142" t="s">
        <v>190</v>
      </c>
      <c r="S14" s="131" t="s">
        <v>108</v>
      </c>
      <c r="T14" s="131" t="s">
        <v>190</v>
      </c>
      <c r="U14" s="145" t="s">
        <v>111</v>
      </c>
      <c r="V14" s="145" t="s">
        <v>191</v>
      </c>
      <c r="W14" s="142" t="s">
        <v>112</v>
      </c>
      <c r="X14" s="131" t="s">
        <v>118</v>
      </c>
      <c r="Y14" s="131"/>
      <c r="Z14" s="131" t="s">
        <v>119</v>
      </c>
      <c r="AA14" s="131"/>
    </row>
    <row r="15" spans="1:27" ht="58.5" customHeight="1">
      <c r="A15" s="131"/>
      <c r="B15" s="131"/>
      <c r="C15" s="131"/>
      <c r="D15" s="143"/>
      <c r="E15" s="143"/>
      <c r="F15" s="143"/>
      <c r="G15" s="143"/>
      <c r="H15" s="146"/>
      <c r="I15" s="131"/>
      <c r="J15" s="131"/>
      <c r="K15" s="152"/>
      <c r="L15" s="152"/>
      <c r="M15" s="146"/>
      <c r="N15" s="152"/>
      <c r="O15" s="143"/>
      <c r="P15" s="131"/>
      <c r="Q15" s="153"/>
      <c r="R15" s="143"/>
      <c r="S15" s="131"/>
      <c r="T15" s="131"/>
      <c r="U15" s="146"/>
      <c r="V15" s="146"/>
      <c r="W15" s="143"/>
      <c r="X15" s="131"/>
      <c r="Y15" s="131"/>
      <c r="Z15" s="131"/>
      <c r="AA15" s="131"/>
    </row>
    <row r="16" spans="1:27" ht="238.5" customHeight="1">
      <c r="A16" s="131"/>
      <c r="B16" s="131"/>
      <c r="C16" s="131"/>
      <c r="D16" s="144"/>
      <c r="E16" s="144"/>
      <c r="F16" s="144"/>
      <c r="G16" s="144"/>
      <c r="H16" s="147"/>
      <c r="I16" s="131"/>
      <c r="J16" s="131"/>
      <c r="K16" s="152"/>
      <c r="L16" s="152"/>
      <c r="M16" s="147"/>
      <c r="N16" s="152"/>
      <c r="O16" s="144"/>
      <c r="P16" s="131"/>
      <c r="Q16" s="153"/>
      <c r="R16" s="144"/>
      <c r="S16" s="131"/>
      <c r="T16" s="131"/>
      <c r="U16" s="147"/>
      <c r="V16" s="147"/>
      <c r="W16" s="144"/>
      <c r="X16" s="62" t="s">
        <v>114</v>
      </c>
      <c r="Y16" s="62" t="s">
        <v>115</v>
      </c>
      <c r="Z16" s="63" t="s">
        <v>116</v>
      </c>
      <c r="AA16" s="62" t="s">
        <v>117</v>
      </c>
    </row>
    <row r="17" spans="1:27" ht="151.80000000000001" customHeight="1">
      <c r="A17" s="67" t="s">
        <v>16</v>
      </c>
      <c r="B17" s="68" t="s">
        <v>177</v>
      </c>
      <c r="C17" s="94" t="s">
        <v>120</v>
      </c>
      <c r="D17" s="98" t="s">
        <v>135</v>
      </c>
      <c r="E17" s="76">
        <v>12.6</v>
      </c>
      <c r="F17" s="95"/>
      <c r="G17" s="95">
        <v>34</v>
      </c>
      <c r="H17" s="96"/>
      <c r="I17" s="64">
        <v>2020</v>
      </c>
      <c r="J17" s="64">
        <v>2024</v>
      </c>
      <c r="K17" s="95"/>
      <c r="L17" s="95"/>
      <c r="M17" s="94"/>
      <c r="N17" s="95"/>
      <c r="O17" s="95"/>
      <c r="P17" s="95"/>
      <c r="Q17" s="71">
        <v>98.155763103330571</v>
      </c>
      <c r="R17" s="95"/>
      <c r="S17" s="95"/>
      <c r="T17" s="95"/>
      <c r="U17" s="95"/>
      <c r="V17" s="95"/>
      <c r="W17" s="95"/>
      <c r="X17" s="95"/>
      <c r="Y17" s="95"/>
      <c r="Z17" s="95"/>
      <c r="AA17" s="95"/>
    </row>
    <row r="18" spans="1:27" ht="199.8" customHeight="1">
      <c r="A18" s="67" t="s">
        <v>19</v>
      </c>
      <c r="B18" s="68" t="s">
        <v>18</v>
      </c>
      <c r="C18" s="94" t="s">
        <v>120</v>
      </c>
      <c r="D18" s="98" t="s">
        <v>136</v>
      </c>
      <c r="E18" s="76">
        <v>4</v>
      </c>
      <c r="F18" s="95"/>
      <c r="G18" s="95">
        <v>17</v>
      </c>
      <c r="H18" s="96"/>
      <c r="I18" s="113">
        <v>2020</v>
      </c>
      <c r="J18" s="113">
        <v>2024</v>
      </c>
      <c r="K18" s="95"/>
      <c r="L18" s="95"/>
      <c r="M18" s="94"/>
      <c r="N18" s="95"/>
      <c r="O18" s="95"/>
      <c r="P18" s="95"/>
      <c r="Q18" s="71">
        <v>45.000633420865789</v>
      </c>
      <c r="R18" s="95"/>
      <c r="S18" s="95"/>
      <c r="T18" s="95"/>
      <c r="U18" s="95"/>
      <c r="V18" s="95"/>
      <c r="W18" s="95"/>
      <c r="X18" s="95"/>
      <c r="Y18" s="95"/>
      <c r="Z18" s="95"/>
      <c r="AA18" s="95"/>
    </row>
    <row r="19" spans="1:27" ht="162" customHeight="1">
      <c r="A19" s="67" t="s">
        <v>21</v>
      </c>
      <c r="B19" s="68" t="s">
        <v>20</v>
      </c>
      <c r="C19" s="94" t="s">
        <v>120</v>
      </c>
      <c r="D19" s="98" t="s">
        <v>248</v>
      </c>
      <c r="E19" s="76">
        <v>3.75</v>
      </c>
      <c r="F19" s="95"/>
      <c r="G19" s="95">
        <v>10.5</v>
      </c>
      <c r="H19" s="99"/>
      <c r="I19" s="113">
        <v>2020</v>
      </c>
      <c r="J19" s="113">
        <v>2024</v>
      </c>
      <c r="K19" s="95"/>
      <c r="L19" s="95"/>
      <c r="M19" s="94"/>
      <c r="N19" s="95"/>
      <c r="O19" s="95"/>
      <c r="P19" s="95"/>
      <c r="Q19" s="71">
        <v>51.270104527461484</v>
      </c>
      <c r="R19" s="95"/>
      <c r="S19" s="95"/>
      <c r="T19" s="95"/>
      <c r="U19" s="95"/>
      <c r="V19" s="95"/>
      <c r="W19" s="95"/>
      <c r="X19" s="95"/>
      <c r="Y19" s="95"/>
      <c r="Z19" s="95"/>
      <c r="AA19" s="95"/>
    </row>
    <row r="20" spans="1:27" ht="196.8" customHeight="1">
      <c r="A20" s="67" t="s">
        <v>22</v>
      </c>
      <c r="B20" s="78" t="s">
        <v>23</v>
      </c>
      <c r="C20" s="94" t="s">
        <v>120</v>
      </c>
      <c r="D20" s="98" t="s">
        <v>249</v>
      </c>
      <c r="E20" s="76">
        <v>4</v>
      </c>
      <c r="F20" s="95"/>
      <c r="G20" s="95">
        <v>17</v>
      </c>
      <c r="H20" s="99"/>
      <c r="I20" s="113">
        <v>2020</v>
      </c>
      <c r="J20" s="113">
        <v>2024</v>
      </c>
      <c r="K20" s="95"/>
      <c r="L20" s="95"/>
      <c r="M20" s="94"/>
      <c r="N20" s="95"/>
      <c r="O20" s="95"/>
      <c r="P20" s="95"/>
      <c r="Q20" s="71">
        <v>45.000633420865789</v>
      </c>
      <c r="R20" s="95"/>
      <c r="S20" s="95"/>
      <c r="T20" s="95"/>
      <c r="U20" s="95"/>
      <c r="V20" s="95"/>
      <c r="W20" s="95"/>
      <c r="X20" s="95"/>
      <c r="Y20" s="95"/>
      <c r="Z20" s="95"/>
      <c r="AA20" s="95"/>
    </row>
    <row r="21" spans="1:27" ht="163.80000000000001" customHeight="1">
      <c r="A21" s="67" t="s">
        <v>25</v>
      </c>
      <c r="B21" s="68" t="s">
        <v>24</v>
      </c>
      <c r="C21" s="94" t="s">
        <v>120</v>
      </c>
      <c r="D21" s="98" t="s">
        <v>135</v>
      </c>
      <c r="E21" s="76"/>
      <c r="F21" s="95"/>
      <c r="G21" s="95">
        <v>3.35</v>
      </c>
      <c r="H21" s="99"/>
      <c r="I21" s="69">
        <v>2019</v>
      </c>
      <c r="J21" s="76">
        <v>2022</v>
      </c>
      <c r="K21" s="95"/>
      <c r="L21" s="95"/>
      <c r="M21" s="94"/>
      <c r="N21" s="95"/>
      <c r="O21" s="95"/>
      <c r="P21" s="95"/>
      <c r="Q21" s="71">
        <v>36.334950451088005</v>
      </c>
      <c r="R21" s="95"/>
      <c r="S21" s="95"/>
      <c r="T21" s="95"/>
      <c r="U21" s="95"/>
      <c r="V21" s="95"/>
      <c r="W21" s="95"/>
      <c r="X21" s="95"/>
      <c r="Y21" s="95"/>
      <c r="Z21" s="95"/>
      <c r="AA21" s="95"/>
    </row>
    <row r="22" spans="1:27" ht="58.8" customHeight="1">
      <c r="A22" s="73" t="s">
        <v>27</v>
      </c>
      <c r="B22" s="72" t="s">
        <v>194</v>
      </c>
      <c r="C22" s="94" t="s">
        <v>120</v>
      </c>
      <c r="D22" s="98" t="s">
        <v>135</v>
      </c>
      <c r="E22" s="76">
        <v>20</v>
      </c>
      <c r="F22" s="95"/>
      <c r="G22" s="95"/>
      <c r="H22" s="99"/>
      <c r="I22" s="69">
        <v>2019</v>
      </c>
      <c r="J22" s="69">
        <v>2023</v>
      </c>
      <c r="K22" s="95"/>
      <c r="L22" s="95"/>
      <c r="M22" s="94"/>
      <c r="N22" s="95"/>
      <c r="O22" s="95"/>
      <c r="P22" s="95"/>
      <c r="Q22" s="71">
        <v>141.00124005098425</v>
      </c>
      <c r="R22" s="95"/>
      <c r="S22" s="95"/>
      <c r="T22" s="95"/>
      <c r="U22" s="95"/>
      <c r="V22" s="95"/>
      <c r="W22" s="95"/>
      <c r="X22" s="95"/>
      <c r="Y22" s="95"/>
      <c r="Z22" s="95"/>
      <c r="AA22" s="95"/>
    </row>
    <row r="23" spans="1:27" ht="93" customHeight="1">
      <c r="A23" s="73" t="s">
        <v>192</v>
      </c>
      <c r="B23" s="72" t="s">
        <v>195</v>
      </c>
      <c r="C23" s="94" t="s">
        <v>120</v>
      </c>
      <c r="D23" s="98" t="s">
        <v>250</v>
      </c>
      <c r="E23" s="76">
        <v>32</v>
      </c>
      <c r="F23" s="95"/>
      <c r="G23" s="95"/>
      <c r="H23" s="99"/>
      <c r="I23" s="69">
        <v>2020</v>
      </c>
      <c r="J23" s="69">
        <v>2023</v>
      </c>
      <c r="K23" s="95"/>
      <c r="L23" s="95"/>
      <c r="M23" s="94"/>
      <c r="N23" s="95"/>
      <c r="O23" s="95"/>
      <c r="P23" s="95"/>
      <c r="Q23" s="71">
        <v>149.0954926455579</v>
      </c>
      <c r="R23" s="95"/>
      <c r="S23" s="95"/>
      <c r="T23" s="95"/>
      <c r="U23" s="95"/>
      <c r="V23" s="95"/>
      <c r="W23" s="95"/>
      <c r="X23" s="95"/>
      <c r="Y23" s="95"/>
      <c r="Z23" s="95"/>
      <c r="AA23" s="95"/>
    </row>
    <row r="24" spans="1:27" s="4" customFormat="1" ht="52.8" customHeight="1">
      <c r="A24" s="67" t="s">
        <v>42</v>
      </c>
      <c r="B24" s="68" t="s">
        <v>41</v>
      </c>
      <c r="C24" s="94" t="s">
        <v>120</v>
      </c>
      <c r="D24" s="98"/>
      <c r="E24" s="74"/>
      <c r="F24" s="97"/>
      <c r="G24" s="95"/>
      <c r="H24" s="100"/>
      <c r="I24" s="74">
        <v>2020</v>
      </c>
      <c r="J24" s="74">
        <v>2024</v>
      </c>
      <c r="K24" s="97"/>
      <c r="L24" s="97"/>
      <c r="M24" s="94"/>
      <c r="N24" s="94"/>
      <c r="O24" s="97"/>
      <c r="P24" s="97"/>
      <c r="Q24" s="71">
        <v>135</v>
      </c>
      <c r="R24" s="97"/>
      <c r="S24" s="97"/>
      <c r="T24" s="97"/>
      <c r="U24" s="95"/>
      <c r="V24" s="95"/>
      <c r="W24" s="95"/>
      <c r="X24" s="95"/>
      <c r="Y24" s="95"/>
      <c r="Z24" s="95"/>
      <c r="AA24" s="95"/>
    </row>
    <row r="25" spans="1:27" ht="186" customHeight="1">
      <c r="A25" s="67" t="s">
        <v>45</v>
      </c>
      <c r="B25" s="68" t="s">
        <v>201</v>
      </c>
      <c r="C25" s="94" t="s">
        <v>120</v>
      </c>
      <c r="D25" s="98" t="s">
        <v>251</v>
      </c>
      <c r="E25" s="64"/>
      <c r="F25" s="95"/>
      <c r="G25" s="95"/>
      <c r="H25" s="99"/>
      <c r="I25" s="74">
        <v>2020</v>
      </c>
      <c r="J25" s="74">
        <v>2024</v>
      </c>
      <c r="K25" s="95"/>
      <c r="L25" s="95"/>
      <c r="M25" s="94"/>
      <c r="N25" s="95"/>
      <c r="O25" s="95"/>
      <c r="P25" s="95"/>
      <c r="Q25" s="71">
        <v>54.564250356640002</v>
      </c>
      <c r="R25" s="95"/>
      <c r="S25" s="95"/>
      <c r="T25" s="95"/>
      <c r="U25" s="95"/>
      <c r="V25" s="95"/>
      <c r="W25" s="95"/>
      <c r="X25" s="95"/>
      <c r="Y25" s="95"/>
      <c r="Z25" s="95"/>
      <c r="AA25" s="95"/>
    </row>
    <row r="26" spans="1:27" ht="82.8" customHeight="1">
      <c r="A26" s="67" t="s">
        <v>47</v>
      </c>
      <c r="B26" s="68" t="s">
        <v>46</v>
      </c>
      <c r="C26" s="94" t="s">
        <v>120</v>
      </c>
      <c r="D26" s="98" t="s">
        <v>252</v>
      </c>
      <c r="E26" s="64">
        <v>32</v>
      </c>
      <c r="F26" s="95"/>
      <c r="G26" s="95">
        <v>6.3</v>
      </c>
      <c r="H26" s="99"/>
      <c r="I26" s="69">
        <v>2015</v>
      </c>
      <c r="J26" s="76">
        <v>2020</v>
      </c>
      <c r="K26" s="95"/>
      <c r="L26" s="95"/>
      <c r="M26" s="94"/>
      <c r="N26" s="95"/>
      <c r="O26" s="95"/>
      <c r="P26" s="95"/>
      <c r="Q26" s="71">
        <v>124.04837000000001</v>
      </c>
      <c r="R26" s="95"/>
      <c r="S26" s="95"/>
      <c r="T26" s="95"/>
      <c r="U26" s="95"/>
      <c r="V26" s="95"/>
      <c r="W26" s="95"/>
      <c r="X26" s="95"/>
      <c r="Y26" s="95"/>
      <c r="Z26" s="95"/>
      <c r="AA26" s="95"/>
    </row>
    <row r="27" spans="1:27" ht="100.8" customHeight="1">
      <c r="A27" s="67" t="s">
        <v>202</v>
      </c>
      <c r="B27" s="72" t="s">
        <v>52</v>
      </c>
      <c r="C27" s="94" t="s">
        <v>120</v>
      </c>
      <c r="D27" s="98" t="s">
        <v>252</v>
      </c>
      <c r="E27" s="64"/>
      <c r="F27" s="95"/>
      <c r="G27" s="95">
        <v>4</v>
      </c>
      <c r="H27" s="99"/>
      <c r="I27" s="69">
        <v>2019</v>
      </c>
      <c r="J27" s="76">
        <v>2021</v>
      </c>
      <c r="K27" s="95"/>
      <c r="L27" s="95"/>
      <c r="M27" s="94"/>
      <c r="N27" s="95"/>
      <c r="O27" s="95"/>
      <c r="P27" s="95"/>
      <c r="Q27" s="71">
        <v>21.970736835024002</v>
      </c>
      <c r="R27" s="95"/>
      <c r="S27" s="95"/>
      <c r="T27" s="95"/>
      <c r="U27" s="95"/>
      <c r="V27" s="95"/>
      <c r="W27" s="95"/>
      <c r="X27" s="95"/>
      <c r="Y27" s="95"/>
      <c r="Z27" s="95"/>
      <c r="AA27" s="95"/>
    </row>
    <row r="28" spans="1:27" ht="61.8" customHeight="1">
      <c r="A28" s="67" t="s">
        <v>48</v>
      </c>
      <c r="B28" s="72" t="s">
        <v>198</v>
      </c>
      <c r="C28" s="94" t="s">
        <v>120</v>
      </c>
      <c r="D28" s="98" t="s">
        <v>137</v>
      </c>
      <c r="E28" s="64">
        <v>8</v>
      </c>
      <c r="F28" s="95"/>
      <c r="G28" s="95">
        <v>17.8</v>
      </c>
      <c r="H28" s="99"/>
      <c r="I28" s="76">
        <v>2023</v>
      </c>
      <c r="J28" s="76">
        <v>2024</v>
      </c>
      <c r="K28" s="95"/>
      <c r="L28" s="95"/>
      <c r="M28" s="94"/>
      <c r="N28" s="95"/>
      <c r="O28" s="95"/>
      <c r="P28" s="95"/>
      <c r="Q28" s="71">
        <f>268.049</f>
        <v>268.04899999999998</v>
      </c>
      <c r="R28" s="95"/>
      <c r="S28" s="95"/>
      <c r="T28" s="95"/>
      <c r="U28" s="95"/>
      <c r="V28" s="95"/>
      <c r="W28" s="95"/>
      <c r="X28" s="95"/>
      <c r="Y28" s="95"/>
      <c r="Z28" s="95"/>
      <c r="AA28" s="95"/>
    </row>
    <row r="29" spans="1:27" ht="73.8" customHeight="1">
      <c r="A29" s="67" t="s">
        <v>49</v>
      </c>
      <c r="B29" s="68" t="s">
        <v>53</v>
      </c>
      <c r="C29" s="94" t="s">
        <v>120</v>
      </c>
      <c r="D29" s="98" t="s">
        <v>253</v>
      </c>
      <c r="E29" s="64">
        <v>2</v>
      </c>
      <c r="F29" s="95"/>
      <c r="G29" s="95">
        <v>19.5</v>
      </c>
      <c r="H29" s="99"/>
      <c r="I29" s="76">
        <v>2020</v>
      </c>
      <c r="J29" s="76">
        <v>2024</v>
      </c>
      <c r="K29" s="95"/>
      <c r="L29" s="95"/>
      <c r="M29" s="94"/>
      <c r="N29" s="95"/>
      <c r="O29" s="95"/>
      <c r="P29" s="95"/>
      <c r="Q29" s="71">
        <v>93.06658962937</v>
      </c>
      <c r="R29" s="95"/>
      <c r="S29" s="95"/>
      <c r="T29" s="95"/>
      <c r="U29" s="95"/>
      <c r="V29" s="95"/>
      <c r="W29" s="95"/>
      <c r="X29" s="95"/>
      <c r="Y29" s="95"/>
      <c r="Z29" s="95"/>
      <c r="AA29" s="95"/>
    </row>
    <row r="30" spans="1:27" ht="87" customHeight="1">
      <c r="A30" s="67" t="s">
        <v>50</v>
      </c>
      <c r="B30" s="68" t="s">
        <v>203</v>
      </c>
      <c r="C30" s="94" t="s">
        <v>120</v>
      </c>
      <c r="D30" s="98" t="s">
        <v>250</v>
      </c>
      <c r="E30" s="74">
        <v>2</v>
      </c>
      <c r="F30" s="95"/>
      <c r="G30" s="95">
        <v>5.5</v>
      </c>
      <c r="H30" s="99"/>
      <c r="I30" s="76">
        <v>2020</v>
      </c>
      <c r="J30" s="76">
        <v>2024</v>
      </c>
      <c r="K30" s="95"/>
      <c r="L30" s="95"/>
      <c r="M30" s="94"/>
      <c r="N30" s="95"/>
      <c r="O30" s="95"/>
      <c r="P30" s="95"/>
      <c r="Q30" s="71">
        <v>22.398458350437139</v>
      </c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64.8" customHeight="1">
      <c r="A31" s="67" t="s">
        <v>51</v>
      </c>
      <c r="B31" s="68" t="s">
        <v>55</v>
      </c>
      <c r="C31" s="94" t="s">
        <v>120</v>
      </c>
      <c r="D31" s="98" t="s">
        <v>135</v>
      </c>
      <c r="E31" s="64">
        <v>6.3</v>
      </c>
      <c r="F31" s="95"/>
      <c r="G31" s="95">
        <v>17</v>
      </c>
      <c r="H31" s="99"/>
      <c r="I31" s="76">
        <v>2020</v>
      </c>
      <c r="J31" s="76">
        <v>2024</v>
      </c>
      <c r="K31" s="95"/>
      <c r="L31" s="95"/>
      <c r="M31" s="94"/>
      <c r="N31" s="95"/>
      <c r="O31" s="95"/>
      <c r="P31" s="95"/>
      <c r="Q31" s="71">
        <v>49.077881551665286</v>
      </c>
      <c r="R31" s="95"/>
      <c r="S31" s="95"/>
      <c r="T31" s="95"/>
      <c r="U31" s="95"/>
      <c r="V31" s="95"/>
      <c r="W31" s="95"/>
      <c r="X31" s="95"/>
      <c r="Y31" s="95"/>
      <c r="Z31" s="95"/>
      <c r="AA31" s="95"/>
    </row>
    <row r="32" spans="1:27" ht="78" customHeight="1">
      <c r="A32" s="67" t="s">
        <v>54</v>
      </c>
      <c r="B32" s="68" t="s">
        <v>178</v>
      </c>
      <c r="C32" s="94" t="s">
        <v>120</v>
      </c>
      <c r="D32" s="98" t="s">
        <v>254</v>
      </c>
      <c r="E32" s="64">
        <v>4</v>
      </c>
      <c r="F32" s="95"/>
      <c r="G32" s="95">
        <v>17</v>
      </c>
      <c r="H32" s="99"/>
      <c r="I32" s="76">
        <v>2020</v>
      </c>
      <c r="J32" s="76">
        <v>2024</v>
      </c>
      <c r="K32" s="95"/>
      <c r="L32" s="95"/>
      <c r="M32" s="94"/>
      <c r="N32" s="94"/>
      <c r="O32" s="95"/>
      <c r="P32" s="95"/>
      <c r="Q32" s="71">
        <v>45.000633420865789</v>
      </c>
      <c r="R32" s="95"/>
      <c r="S32" s="95"/>
      <c r="T32" s="95"/>
      <c r="U32" s="95"/>
      <c r="V32" s="95"/>
      <c r="W32" s="95"/>
      <c r="X32" s="95"/>
      <c r="Y32" s="95"/>
      <c r="Z32" s="95"/>
      <c r="AA32" s="95"/>
    </row>
    <row r="33" spans="1:211" s="4" customFormat="1" ht="73.8" customHeight="1">
      <c r="A33" s="67" t="s">
        <v>58</v>
      </c>
      <c r="B33" s="68" t="s">
        <v>56</v>
      </c>
      <c r="C33" s="94" t="s">
        <v>120</v>
      </c>
      <c r="D33" s="98" t="s">
        <v>255</v>
      </c>
      <c r="E33" s="64">
        <v>4</v>
      </c>
      <c r="F33" s="95"/>
      <c r="G33" s="95">
        <v>17</v>
      </c>
      <c r="H33" s="99"/>
      <c r="I33" s="76">
        <v>2020</v>
      </c>
      <c r="J33" s="76">
        <v>2024</v>
      </c>
      <c r="K33" s="95"/>
      <c r="L33" s="95"/>
      <c r="M33" s="94"/>
      <c r="N33" s="94"/>
      <c r="O33" s="95"/>
      <c r="P33" s="95"/>
      <c r="Q33" s="71">
        <v>45.000633420865789</v>
      </c>
      <c r="R33" s="95"/>
      <c r="S33" s="95"/>
      <c r="T33" s="95"/>
      <c r="U33" s="95"/>
      <c r="V33" s="95"/>
      <c r="W33" s="95"/>
      <c r="X33" s="95"/>
      <c r="Y33" s="95"/>
      <c r="Z33" s="95"/>
      <c r="AA33" s="95"/>
    </row>
    <row r="34" spans="1:211" s="4" customFormat="1" ht="57" customHeight="1">
      <c r="A34" s="67" t="s">
        <v>59</v>
      </c>
      <c r="B34" s="68" t="s">
        <v>57</v>
      </c>
      <c r="C34" s="94" t="s">
        <v>120</v>
      </c>
      <c r="D34" s="98" t="s">
        <v>248</v>
      </c>
      <c r="E34" s="64">
        <v>2</v>
      </c>
      <c r="F34" s="95"/>
      <c r="G34" s="95">
        <v>12.5</v>
      </c>
      <c r="H34" s="99"/>
      <c r="I34" s="76">
        <v>2020</v>
      </c>
      <c r="J34" s="76">
        <v>2024</v>
      </c>
      <c r="K34" s="95"/>
      <c r="L34" s="95"/>
      <c r="M34" s="94"/>
      <c r="N34" s="94"/>
      <c r="O34" s="95"/>
      <c r="P34" s="95"/>
      <c r="Q34" s="71">
        <v>33.856950925331539</v>
      </c>
      <c r="R34" s="95"/>
      <c r="S34" s="95"/>
      <c r="T34" s="95"/>
      <c r="U34" s="95"/>
      <c r="V34" s="95"/>
      <c r="W34" s="95"/>
      <c r="X34" s="95"/>
      <c r="Y34" s="95"/>
      <c r="Z34" s="95"/>
      <c r="AA34" s="95"/>
    </row>
    <row r="35" spans="1:211" s="4" customFormat="1" ht="70.8" customHeight="1">
      <c r="A35" s="67" t="s">
        <v>61</v>
      </c>
      <c r="B35" s="68" t="s">
        <v>60</v>
      </c>
      <c r="C35" s="94" t="s">
        <v>120</v>
      </c>
      <c r="D35" s="98" t="s">
        <v>135</v>
      </c>
      <c r="E35" s="64">
        <v>6.3</v>
      </c>
      <c r="F35" s="95"/>
      <c r="G35" s="95">
        <v>11</v>
      </c>
      <c r="H35" s="99"/>
      <c r="I35" s="76">
        <v>2020</v>
      </c>
      <c r="J35" s="76">
        <v>2024</v>
      </c>
      <c r="K35" s="95"/>
      <c r="L35" s="95"/>
      <c r="M35" s="94"/>
      <c r="N35" s="94"/>
      <c r="O35" s="95"/>
      <c r="P35" s="95"/>
      <c r="Q35" s="71">
        <v>59.079170398249445</v>
      </c>
      <c r="R35" s="95"/>
      <c r="S35" s="95"/>
      <c r="T35" s="95"/>
      <c r="U35" s="95"/>
      <c r="V35" s="95"/>
      <c r="W35" s="95"/>
      <c r="X35" s="95"/>
      <c r="Y35" s="95"/>
      <c r="Z35" s="95"/>
      <c r="AA35" s="95"/>
    </row>
    <row r="36" spans="1:211" s="4" customFormat="1" ht="64.8" customHeight="1">
      <c r="A36" s="67" t="s">
        <v>62</v>
      </c>
      <c r="B36" s="68" t="s">
        <v>204</v>
      </c>
      <c r="C36" s="94" t="s">
        <v>120</v>
      </c>
      <c r="D36" s="98" t="s">
        <v>250</v>
      </c>
      <c r="E36" s="64"/>
      <c r="F36" s="95"/>
      <c r="G36" s="95">
        <v>19.8</v>
      </c>
      <c r="H36" s="99"/>
      <c r="I36" s="76">
        <v>2020</v>
      </c>
      <c r="J36" s="76">
        <v>2022</v>
      </c>
      <c r="K36" s="95"/>
      <c r="L36" s="95"/>
      <c r="M36" s="94"/>
      <c r="N36" s="98"/>
      <c r="O36" s="95"/>
      <c r="P36" s="95"/>
      <c r="Q36" s="71">
        <v>120.3154245195141</v>
      </c>
      <c r="R36" s="95"/>
      <c r="S36" s="95"/>
      <c r="T36" s="95"/>
      <c r="U36" s="95"/>
      <c r="V36" s="95"/>
      <c r="W36" s="95"/>
      <c r="X36" s="95"/>
      <c r="Y36" s="95"/>
      <c r="Z36" s="95"/>
      <c r="AA36" s="95"/>
    </row>
    <row r="37" spans="1:211" s="4" customFormat="1" ht="58.8" customHeight="1">
      <c r="A37" s="67" t="s">
        <v>63</v>
      </c>
      <c r="B37" s="72" t="s">
        <v>196</v>
      </c>
      <c r="C37" s="94" t="s">
        <v>120</v>
      </c>
      <c r="D37" s="98" t="s">
        <v>250</v>
      </c>
      <c r="E37" s="64"/>
      <c r="F37" s="95"/>
      <c r="G37" s="95">
        <v>2</v>
      </c>
      <c r="H37" s="99"/>
      <c r="I37" s="69">
        <v>2023</v>
      </c>
      <c r="J37" s="69">
        <v>2024</v>
      </c>
      <c r="K37" s="95"/>
      <c r="L37" s="95"/>
      <c r="M37" s="94"/>
      <c r="N37" s="98"/>
      <c r="O37" s="95"/>
      <c r="P37" s="95"/>
      <c r="Q37" s="71">
        <v>13.766677529732016</v>
      </c>
      <c r="R37" s="95"/>
      <c r="S37" s="95"/>
      <c r="T37" s="95"/>
      <c r="U37" s="95"/>
      <c r="V37" s="95"/>
      <c r="W37" s="95"/>
      <c r="X37" s="95"/>
      <c r="Y37" s="95"/>
      <c r="Z37" s="95"/>
      <c r="AA37" s="95"/>
    </row>
    <row r="38" spans="1:211" ht="63" customHeight="1">
      <c r="A38" s="67" t="s">
        <v>64</v>
      </c>
      <c r="B38" s="72" t="s">
        <v>197</v>
      </c>
      <c r="C38" s="94" t="s">
        <v>120</v>
      </c>
      <c r="D38" s="98" t="s">
        <v>250</v>
      </c>
      <c r="E38" s="74"/>
      <c r="F38" s="95"/>
      <c r="G38" s="95"/>
      <c r="H38" s="99"/>
      <c r="I38" s="69">
        <v>2023</v>
      </c>
      <c r="J38" s="69">
        <v>2024</v>
      </c>
      <c r="K38" s="95"/>
      <c r="L38" s="95"/>
      <c r="M38" s="94"/>
      <c r="N38" s="94"/>
      <c r="O38" s="97"/>
      <c r="P38" s="97"/>
      <c r="Q38" s="71">
        <v>39.498974818868291</v>
      </c>
      <c r="R38" s="97"/>
      <c r="S38" s="97"/>
      <c r="T38" s="95"/>
      <c r="U38" s="95"/>
      <c r="V38" s="95"/>
      <c r="W38" s="95"/>
      <c r="X38" s="95"/>
      <c r="Y38" s="95"/>
      <c r="Z38" s="97"/>
      <c r="AA38" s="97"/>
    </row>
    <row r="39" spans="1:211" s="4" customFormat="1" ht="58.8" customHeight="1">
      <c r="A39" s="67" t="s">
        <v>264</v>
      </c>
      <c r="B39" s="68" t="s">
        <v>268</v>
      </c>
      <c r="C39" s="94" t="s">
        <v>120</v>
      </c>
      <c r="D39" s="98" t="s">
        <v>289</v>
      </c>
      <c r="E39" s="128">
        <v>12.6</v>
      </c>
      <c r="F39" s="95"/>
      <c r="G39" s="95">
        <v>0.5</v>
      </c>
      <c r="H39" s="99"/>
      <c r="I39" s="69">
        <v>2020</v>
      </c>
      <c r="J39" s="76">
        <v>2023</v>
      </c>
      <c r="K39" s="95"/>
      <c r="L39" s="95"/>
      <c r="M39" s="94"/>
      <c r="N39" s="98"/>
      <c r="O39" s="95"/>
      <c r="P39" s="95"/>
      <c r="Q39" s="77">
        <v>212.79599999999999</v>
      </c>
      <c r="R39" s="95"/>
      <c r="S39" s="95"/>
      <c r="T39" s="95"/>
      <c r="U39" s="95"/>
      <c r="V39" s="95"/>
      <c r="W39" s="95"/>
      <c r="X39" s="95"/>
      <c r="Y39" s="95"/>
      <c r="Z39" s="95"/>
      <c r="AA39" s="95"/>
    </row>
    <row r="40" spans="1:211" s="4" customFormat="1" ht="75.599999999999994" customHeight="1">
      <c r="A40" s="67" t="s">
        <v>265</v>
      </c>
      <c r="B40" s="68" t="s">
        <v>275</v>
      </c>
      <c r="C40" s="94" t="s">
        <v>120</v>
      </c>
      <c r="D40" s="98" t="s">
        <v>289</v>
      </c>
      <c r="E40" s="128">
        <v>10.1</v>
      </c>
      <c r="F40" s="95"/>
      <c r="G40" s="95">
        <v>18.5</v>
      </c>
      <c r="H40" s="99"/>
      <c r="I40" s="69">
        <v>2020</v>
      </c>
      <c r="J40" s="76">
        <v>2024</v>
      </c>
      <c r="K40" s="95"/>
      <c r="L40" s="95"/>
      <c r="M40" s="94"/>
      <c r="N40" s="98"/>
      <c r="O40" s="95"/>
      <c r="P40" s="95"/>
      <c r="Q40" s="77">
        <v>179.72900000000001</v>
      </c>
      <c r="R40" s="95"/>
      <c r="S40" s="95"/>
      <c r="T40" s="95"/>
      <c r="U40" s="95"/>
      <c r="V40" s="95"/>
      <c r="W40" s="95"/>
      <c r="X40" s="95"/>
      <c r="Y40" s="95"/>
      <c r="Z40" s="95"/>
      <c r="AA40" s="95"/>
    </row>
    <row r="41" spans="1:211" s="4" customFormat="1" ht="87.6" customHeight="1">
      <c r="A41" s="67" t="s">
        <v>266</v>
      </c>
      <c r="B41" s="68" t="s">
        <v>271</v>
      </c>
      <c r="C41" s="94" t="s">
        <v>120</v>
      </c>
      <c r="D41" s="98" t="s">
        <v>290</v>
      </c>
      <c r="E41" s="128">
        <v>4.0999999999999996</v>
      </c>
      <c r="F41" s="95"/>
      <c r="G41" s="95">
        <v>5.2</v>
      </c>
      <c r="H41" s="99"/>
      <c r="I41" s="69">
        <v>2020</v>
      </c>
      <c r="J41" s="76">
        <v>2024</v>
      </c>
      <c r="K41" s="95"/>
      <c r="L41" s="95"/>
      <c r="M41" s="94"/>
      <c r="N41" s="98"/>
      <c r="O41" s="95"/>
      <c r="P41" s="95"/>
      <c r="Q41" s="77">
        <v>160.50399999999999</v>
      </c>
      <c r="R41" s="95"/>
      <c r="S41" s="95"/>
      <c r="T41" s="95"/>
      <c r="U41" s="95"/>
      <c r="V41" s="95"/>
      <c r="W41" s="95"/>
      <c r="X41" s="95"/>
      <c r="Y41" s="95"/>
      <c r="Z41" s="95"/>
      <c r="AA41" s="95"/>
    </row>
    <row r="42" spans="1:211" s="4" customFormat="1" ht="157.80000000000001" customHeight="1">
      <c r="A42" s="67" t="s">
        <v>267</v>
      </c>
      <c r="B42" s="68" t="s">
        <v>288</v>
      </c>
      <c r="C42" s="94" t="s">
        <v>120</v>
      </c>
      <c r="D42" s="98" t="s">
        <v>291</v>
      </c>
      <c r="E42" s="128">
        <v>4.1100000000000003</v>
      </c>
      <c r="F42" s="95"/>
      <c r="G42" s="95">
        <v>17.899999999999999</v>
      </c>
      <c r="H42" s="99"/>
      <c r="I42" s="69">
        <v>2020</v>
      </c>
      <c r="J42" s="76">
        <v>2024</v>
      </c>
      <c r="K42" s="95"/>
      <c r="L42" s="95"/>
      <c r="M42" s="94"/>
      <c r="N42" s="98"/>
      <c r="O42" s="95"/>
      <c r="P42" s="95"/>
      <c r="Q42" s="77">
        <v>84.066999999999993</v>
      </c>
      <c r="R42" s="95"/>
      <c r="S42" s="95"/>
      <c r="T42" s="95"/>
      <c r="U42" s="95"/>
      <c r="V42" s="95"/>
      <c r="W42" s="95"/>
      <c r="X42" s="95"/>
      <c r="Y42" s="95"/>
      <c r="Z42" s="95"/>
      <c r="AA42" s="95"/>
    </row>
    <row r="43" spans="1:211" ht="23.4">
      <c r="I43" s="28"/>
      <c r="J43" s="28"/>
      <c r="O43" s="19"/>
      <c r="P43" s="19"/>
      <c r="Q43" s="106"/>
      <c r="R43" s="19"/>
      <c r="S43" s="20"/>
    </row>
    <row r="44" spans="1:211" s="22" customFormat="1">
      <c r="A44" s="47" t="s">
        <v>71</v>
      </c>
      <c r="B44" s="53" t="s">
        <v>127</v>
      </c>
      <c r="C44" s="48"/>
      <c r="D44" s="48"/>
      <c r="E44" s="48"/>
      <c r="F44" s="48"/>
      <c r="G44" s="48"/>
      <c r="H44" s="48"/>
      <c r="I44" s="28"/>
      <c r="J44" s="28"/>
    </row>
    <row r="45" spans="1:211" s="22" customFormat="1">
      <c r="A45" s="49"/>
      <c r="B45" s="54" t="s">
        <v>128</v>
      </c>
      <c r="C45" s="49"/>
      <c r="D45" s="49"/>
      <c r="E45" s="49"/>
      <c r="F45" s="49"/>
      <c r="G45" s="49"/>
      <c r="H45" s="49"/>
      <c r="I45" s="28"/>
      <c r="J45" s="28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5"/>
      <c r="BM45" s="25"/>
      <c r="BN45" s="25"/>
      <c r="BO45" s="25"/>
      <c r="BP45" s="25"/>
      <c r="BQ45" s="25"/>
      <c r="BR45" s="25"/>
      <c r="BS45" s="25"/>
      <c r="BT45" s="25"/>
      <c r="BU45" s="25"/>
      <c r="BV45" s="25"/>
      <c r="BW45" s="25"/>
      <c r="BX45" s="25"/>
      <c r="BY45" s="25"/>
      <c r="BZ45" s="25"/>
      <c r="CA45" s="25"/>
      <c r="CB45" s="25"/>
      <c r="CC45" s="25"/>
      <c r="CD45" s="25"/>
      <c r="CE45" s="25"/>
      <c r="CF45" s="25"/>
      <c r="CG45" s="25"/>
      <c r="CH45" s="25"/>
      <c r="CI45" s="25"/>
      <c r="CJ45" s="25"/>
      <c r="CK45" s="25"/>
      <c r="CL45" s="25"/>
      <c r="CM45" s="25"/>
      <c r="CN45" s="25"/>
      <c r="CO45" s="25"/>
      <c r="CP45" s="25"/>
      <c r="CQ45" s="25"/>
      <c r="CR45" s="25"/>
      <c r="CS45" s="25"/>
      <c r="CT45" s="25"/>
      <c r="CU45" s="25"/>
      <c r="CV45" s="25"/>
      <c r="CW45" s="25"/>
      <c r="CX45" s="25"/>
      <c r="CY45" s="25"/>
      <c r="CZ45" s="25"/>
      <c r="DA45" s="25"/>
      <c r="DB45" s="25"/>
      <c r="DC45" s="25"/>
      <c r="DD45" s="25"/>
      <c r="DE45" s="25"/>
      <c r="DF45" s="25"/>
      <c r="DG45" s="25"/>
      <c r="DH45" s="25"/>
      <c r="DI45" s="25"/>
      <c r="DJ45" s="25"/>
      <c r="DK45" s="25"/>
      <c r="DL45" s="25"/>
      <c r="DM45" s="25"/>
      <c r="DN45" s="25"/>
      <c r="DO45" s="25"/>
      <c r="DP45" s="25"/>
      <c r="DQ45" s="25"/>
      <c r="DR45" s="25"/>
      <c r="DS45" s="25"/>
      <c r="DT45" s="25"/>
      <c r="DU45" s="25"/>
      <c r="DV45" s="25"/>
      <c r="DW45" s="25"/>
      <c r="DX45" s="25"/>
      <c r="DY45" s="25"/>
      <c r="DZ45" s="25"/>
      <c r="EA45" s="25"/>
      <c r="EB45" s="25"/>
      <c r="EC45" s="25"/>
      <c r="ED45" s="25"/>
      <c r="EE45" s="25"/>
      <c r="EF45" s="25"/>
      <c r="EG45" s="25"/>
      <c r="EH45" s="25"/>
      <c r="EI45" s="25"/>
      <c r="EJ45" s="25"/>
      <c r="EK45" s="25"/>
      <c r="EL45" s="25"/>
      <c r="EM45" s="25"/>
      <c r="EN45" s="25"/>
      <c r="EO45" s="25"/>
      <c r="EP45" s="25"/>
      <c r="EQ45" s="25"/>
      <c r="ER45" s="25"/>
      <c r="ES45" s="25"/>
      <c r="ET45" s="25"/>
      <c r="EU45" s="25"/>
      <c r="EV45" s="25"/>
      <c r="EW45" s="25"/>
      <c r="EX45" s="25"/>
      <c r="EY45" s="25"/>
      <c r="EZ45" s="25"/>
      <c r="FA45" s="25"/>
      <c r="FB45" s="25"/>
      <c r="FC45" s="25"/>
      <c r="FD45" s="25"/>
      <c r="FE45" s="25"/>
      <c r="FF45" s="25"/>
      <c r="FG45" s="25"/>
      <c r="FH45" s="25"/>
      <c r="FI45" s="25"/>
      <c r="FJ45" s="25"/>
      <c r="FK45" s="25"/>
      <c r="FL45" s="25"/>
      <c r="FM45" s="25"/>
      <c r="FN45" s="25"/>
      <c r="FO45" s="25"/>
      <c r="FP45" s="25"/>
      <c r="FQ45" s="25"/>
      <c r="FR45" s="25"/>
      <c r="FS45" s="25"/>
      <c r="FT45" s="25"/>
      <c r="FU45" s="25"/>
      <c r="FV45" s="25"/>
      <c r="FW45" s="25"/>
      <c r="FX45" s="25"/>
      <c r="FY45" s="25"/>
      <c r="FZ45" s="25"/>
      <c r="GA45" s="25"/>
      <c r="GB45" s="25"/>
      <c r="GC45" s="25"/>
      <c r="GD45" s="25"/>
      <c r="GE45" s="25"/>
      <c r="GF45" s="25"/>
      <c r="GG45" s="25"/>
      <c r="GH45" s="25"/>
      <c r="GI45" s="25"/>
      <c r="GJ45" s="25"/>
      <c r="GK45" s="25"/>
      <c r="GL45" s="25"/>
      <c r="GM45" s="25"/>
      <c r="GN45" s="25"/>
      <c r="GO45" s="25"/>
      <c r="GP45" s="25"/>
      <c r="GQ45" s="25"/>
      <c r="GR45" s="25"/>
      <c r="GS45" s="25"/>
      <c r="GT45" s="25"/>
      <c r="GU45" s="25"/>
      <c r="GV45" s="25"/>
      <c r="GW45" s="25"/>
      <c r="GX45" s="25"/>
      <c r="GY45" s="25"/>
      <c r="GZ45" s="25"/>
      <c r="HA45" s="25"/>
      <c r="HB45" s="25"/>
      <c r="HC45" s="25"/>
    </row>
    <row r="46" spans="1:211" s="22" customFormat="1">
      <c r="A46" s="49"/>
      <c r="B46" s="54" t="s">
        <v>129</v>
      </c>
      <c r="C46" s="49"/>
      <c r="D46" s="49"/>
      <c r="E46" s="49"/>
      <c r="F46" s="49"/>
      <c r="G46" s="49"/>
      <c r="H46" s="49"/>
      <c r="I46" s="28"/>
      <c r="J46" s="28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</row>
    <row r="47" spans="1:211" s="26" customFormat="1">
      <c r="A47" s="50"/>
      <c r="B47" s="55" t="s">
        <v>130</v>
      </c>
      <c r="C47" s="50"/>
      <c r="D47" s="50"/>
      <c r="E47" s="50"/>
      <c r="F47" s="50"/>
      <c r="G47" s="50"/>
      <c r="H47" s="50"/>
      <c r="I47" s="28"/>
      <c r="J47" s="28"/>
    </row>
    <row r="48" spans="1:211" s="26" customFormat="1">
      <c r="A48" s="50"/>
      <c r="B48" s="55" t="s">
        <v>131</v>
      </c>
      <c r="C48" s="50"/>
      <c r="D48" s="50"/>
      <c r="E48" s="50"/>
      <c r="F48" s="50"/>
      <c r="G48" s="50"/>
      <c r="H48" s="50"/>
      <c r="I48" s="50"/>
      <c r="J48" s="50"/>
    </row>
    <row r="49" spans="1:2">
      <c r="A49" s="27" t="s">
        <v>72</v>
      </c>
      <c r="B49" s="5" t="s">
        <v>132</v>
      </c>
    </row>
    <row r="50" spans="1:2">
      <c r="A50" s="27" t="s">
        <v>73</v>
      </c>
      <c r="B50" s="5" t="s">
        <v>133</v>
      </c>
    </row>
    <row r="51" spans="1:2">
      <c r="A51" s="27" t="s">
        <v>77</v>
      </c>
      <c r="B51" s="5" t="s">
        <v>134</v>
      </c>
    </row>
  </sheetData>
  <mergeCells count="41">
    <mergeCell ref="O13:O16"/>
    <mergeCell ref="P13:P16"/>
    <mergeCell ref="Q13:R13"/>
    <mergeCell ref="Q14:Q16"/>
    <mergeCell ref="R14:R16"/>
    <mergeCell ref="S13:T13"/>
    <mergeCell ref="S14:S16"/>
    <mergeCell ref="T14:T16"/>
    <mergeCell ref="U13:W13"/>
    <mergeCell ref="U14:U16"/>
    <mergeCell ref="V14:V16"/>
    <mergeCell ref="W14:W16"/>
    <mergeCell ref="E13:G13"/>
    <mergeCell ref="A13:A16"/>
    <mergeCell ref="B13:B16"/>
    <mergeCell ref="C13:C16"/>
    <mergeCell ref="D13:D16"/>
    <mergeCell ref="E14:E16"/>
    <mergeCell ref="A10:AA10"/>
    <mergeCell ref="A11:AA11"/>
    <mergeCell ref="F14:F16"/>
    <mergeCell ref="G14:G16"/>
    <mergeCell ref="H13:H16"/>
    <mergeCell ref="I13:J13"/>
    <mergeCell ref="K13:N13"/>
    <mergeCell ref="I14:I16"/>
    <mergeCell ref="J14:J16"/>
    <mergeCell ref="K14:K16"/>
    <mergeCell ref="L14:L16"/>
    <mergeCell ref="M14:M16"/>
    <mergeCell ref="N14:N16"/>
    <mergeCell ref="X13:AA13"/>
    <mergeCell ref="X14:Y15"/>
    <mergeCell ref="Z14:AA15"/>
    <mergeCell ref="X8:AA8"/>
    <mergeCell ref="Y7:AA7"/>
    <mergeCell ref="Y1:AA1"/>
    <mergeCell ref="Y2:AA2"/>
    <mergeCell ref="Y3:AA3"/>
    <mergeCell ref="Y4:AA4"/>
    <mergeCell ref="Y5:AA5"/>
  </mergeCells>
  <printOptions horizontalCentered="1"/>
  <pageMargins left="0.19685039370078741" right="0.19685039370078741" top="0.39370078740157483" bottom="0.19685039370078741" header="0" footer="0"/>
  <pageSetup paperSize="9" scale="34" fitToHeight="3" orientation="landscape" verticalDpi="180" r:id="rId1"/>
  <rowBreaks count="1" manualBreakCount="1">
    <brk id="23" max="26" man="1"/>
  </rowBreaks>
  <colBreaks count="1" manualBreakCount="1">
    <brk id="27" max="26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10"/>
  </cols>
  <sheetData>
    <row r="2" spans="1:9" ht="15.6">
      <c r="A2" s="156" t="s">
        <v>141</v>
      </c>
      <c r="B2" s="156" t="s">
        <v>146</v>
      </c>
      <c r="C2" s="157" t="s">
        <v>79</v>
      </c>
      <c r="D2" s="157"/>
      <c r="E2" s="157"/>
      <c r="F2" s="36"/>
      <c r="G2" s="36"/>
      <c r="H2" s="36"/>
      <c r="I2" s="36"/>
    </row>
    <row r="3" spans="1:9" ht="15.6">
      <c r="A3" s="156"/>
      <c r="B3" s="156"/>
      <c r="C3" s="156" t="s">
        <v>140</v>
      </c>
      <c r="D3" s="156"/>
      <c r="E3" s="156"/>
      <c r="F3" s="154"/>
      <c r="G3" s="154"/>
      <c r="H3" s="154"/>
      <c r="I3" s="154"/>
    </row>
    <row r="4" spans="1:9" ht="78">
      <c r="A4" s="156"/>
      <c r="B4" s="156"/>
      <c r="C4" s="32" t="s">
        <v>172</v>
      </c>
      <c r="D4" s="32" t="s">
        <v>156</v>
      </c>
      <c r="E4" s="32" t="s">
        <v>173</v>
      </c>
      <c r="F4" s="37"/>
      <c r="G4" s="37"/>
      <c r="H4" s="37"/>
      <c r="I4" s="37"/>
    </row>
    <row r="5" spans="1:9" ht="15.6">
      <c r="A5" s="158" t="s">
        <v>155</v>
      </c>
      <c r="B5" s="158"/>
      <c r="C5" s="39">
        <f>SUM(C6:C28)</f>
        <v>259.351</v>
      </c>
      <c r="D5" s="39">
        <f>SUM(D6:D28)</f>
        <v>309.45044999999993</v>
      </c>
      <c r="E5" s="39">
        <f>SUM(E6:E28)</f>
        <v>309.45044999999993</v>
      </c>
      <c r="F5" s="37"/>
      <c r="G5" s="37"/>
      <c r="H5" s="37"/>
      <c r="I5" s="37"/>
    </row>
    <row r="6" spans="1:9" ht="15.6">
      <c r="A6" s="159" t="s">
        <v>157</v>
      </c>
      <c r="B6" s="33" t="s">
        <v>147</v>
      </c>
      <c r="C6" s="155">
        <v>16.617999999999999</v>
      </c>
      <c r="D6" s="155">
        <f>E6+E7</f>
        <v>18.783000000000001</v>
      </c>
      <c r="E6" s="7">
        <v>10.782999999999999</v>
      </c>
      <c r="F6" s="31"/>
      <c r="G6" s="31"/>
      <c r="H6" s="31"/>
      <c r="I6" s="31"/>
    </row>
    <row r="7" spans="1:9" ht="15.6">
      <c r="A7" s="159"/>
      <c r="B7" s="33" t="s">
        <v>148</v>
      </c>
      <c r="C7" s="155"/>
      <c r="D7" s="155"/>
      <c r="E7" s="7">
        <v>8</v>
      </c>
      <c r="F7" s="31"/>
      <c r="G7" s="31"/>
      <c r="H7" s="31"/>
      <c r="I7" s="31"/>
    </row>
    <row r="8" spans="1:9" ht="15.6">
      <c r="A8" s="160" t="s">
        <v>158</v>
      </c>
      <c r="B8" s="33" t="s">
        <v>147</v>
      </c>
      <c r="C8" s="155">
        <v>7.2619999999999996</v>
      </c>
      <c r="D8" s="155">
        <f>E8+E9</f>
        <v>13.266</v>
      </c>
      <c r="E8" s="7">
        <v>11.266</v>
      </c>
      <c r="F8" s="31"/>
      <c r="G8" s="31"/>
      <c r="H8" s="31"/>
      <c r="I8" s="31"/>
    </row>
    <row r="9" spans="1:9" ht="15.6">
      <c r="A9" s="160"/>
      <c r="B9" s="33" t="s">
        <v>148</v>
      </c>
      <c r="C9" s="155"/>
      <c r="D9" s="155"/>
      <c r="E9" s="7">
        <v>2</v>
      </c>
      <c r="F9" s="31"/>
      <c r="G9" s="31"/>
      <c r="H9" s="31"/>
      <c r="I9" s="31"/>
    </row>
    <row r="10" spans="1:9" ht="15.6">
      <c r="A10" s="40" t="s">
        <v>159</v>
      </c>
      <c r="B10" s="33" t="s">
        <v>149</v>
      </c>
      <c r="C10" s="7">
        <v>7.2329999999999997</v>
      </c>
      <c r="D10" s="7">
        <f>E10</f>
        <v>8.0579999999999998</v>
      </c>
      <c r="E10" s="7">
        <v>8.0579999999999998</v>
      </c>
      <c r="F10" s="31"/>
      <c r="G10" s="31"/>
      <c r="H10" s="31"/>
      <c r="I10" s="31"/>
    </row>
    <row r="11" spans="1:9" ht="15.6">
      <c r="A11" s="40" t="s">
        <v>160</v>
      </c>
      <c r="B11" s="33" t="s">
        <v>150</v>
      </c>
      <c r="C11" s="7">
        <v>7.36</v>
      </c>
      <c r="D11" s="7">
        <f>E11</f>
        <v>9.7370000000000001</v>
      </c>
      <c r="E11" s="7">
        <v>9.7370000000000001</v>
      </c>
      <c r="F11" s="31"/>
      <c r="G11" s="31"/>
      <c r="H11" s="31"/>
      <c r="I11" s="31"/>
    </row>
    <row r="12" spans="1:9" ht="15.6">
      <c r="A12" s="40" t="s">
        <v>161</v>
      </c>
      <c r="B12" s="33" t="s">
        <v>147</v>
      </c>
      <c r="C12" s="7">
        <v>32.008000000000003</v>
      </c>
      <c r="D12" s="7">
        <f>E12</f>
        <v>1</v>
      </c>
      <c r="E12" s="7">
        <v>1</v>
      </c>
      <c r="F12" s="31"/>
      <c r="G12" s="31"/>
      <c r="H12" s="31"/>
      <c r="I12" s="31"/>
    </row>
    <row r="13" spans="1:9" ht="15.6">
      <c r="A13" s="40" t="s">
        <v>142</v>
      </c>
      <c r="B13" s="33" t="s">
        <v>151</v>
      </c>
      <c r="C13" s="7">
        <v>31.03</v>
      </c>
      <c r="D13" s="7">
        <f>E13</f>
        <v>31.03</v>
      </c>
      <c r="E13" s="7">
        <v>31.03</v>
      </c>
      <c r="F13" s="31"/>
      <c r="G13" s="31"/>
      <c r="H13" s="31"/>
      <c r="I13" s="31"/>
    </row>
    <row r="14" spans="1:9" ht="15.6">
      <c r="A14" s="40" t="s">
        <v>143</v>
      </c>
      <c r="B14" s="33" t="s">
        <v>152</v>
      </c>
      <c r="C14" s="7">
        <v>0</v>
      </c>
      <c r="D14" s="7">
        <v>0</v>
      </c>
      <c r="E14" s="7">
        <v>0</v>
      </c>
      <c r="F14" s="31"/>
      <c r="G14" s="31"/>
      <c r="H14" s="31"/>
      <c r="I14" s="31"/>
    </row>
    <row r="15" spans="1:9" ht="15.6">
      <c r="A15" s="40" t="s">
        <v>144</v>
      </c>
      <c r="B15" s="33" t="s">
        <v>153</v>
      </c>
      <c r="C15" s="7">
        <v>0</v>
      </c>
      <c r="D15" s="7">
        <f>E15</f>
        <v>93.182000000000002</v>
      </c>
      <c r="E15" s="7">
        <v>93.182000000000002</v>
      </c>
      <c r="F15" s="31"/>
      <c r="G15" s="31"/>
      <c r="H15" s="31"/>
      <c r="I15" s="31"/>
    </row>
    <row r="16" spans="1:9" ht="15.6">
      <c r="A16" s="40" t="s">
        <v>145</v>
      </c>
      <c r="B16" s="33" t="s">
        <v>153</v>
      </c>
      <c r="C16" s="7">
        <v>29.414999999999999</v>
      </c>
      <c r="D16" s="7">
        <f>E16</f>
        <v>4.415</v>
      </c>
      <c r="E16" s="7">
        <v>4.415</v>
      </c>
      <c r="F16" s="31"/>
      <c r="G16" s="31"/>
      <c r="H16" s="31"/>
      <c r="I16" s="31"/>
    </row>
    <row r="17" spans="1:9" ht="15.6">
      <c r="A17" s="41" t="s">
        <v>166</v>
      </c>
      <c r="B17" s="35" t="s">
        <v>150</v>
      </c>
      <c r="C17" s="8">
        <v>10</v>
      </c>
      <c r="D17" s="8">
        <f>E17</f>
        <v>43.128</v>
      </c>
      <c r="E17" s="8">
        <v>43.128</v>
      </c>
      <c r="F17" s="31"/>
      <c r="G17" s="31"/>
      <c r="H17" s="31"/>
      <c r="I17" s="31"/>
    </row>
    <row r="18" spans="1:9" ht="15.6">
      <c r="A18" s="40" t="s">
        <v>162</v>
      </c>
      <c r="B18" s="33" t="s">
        <v>147</v>
      </c>
      <c r="C18" s="7">
        <v>83.617999999999995</v>
      </c>
      <c r="D18" s="7">
        <f>E18</f>
        <v>10</v>
      </c>
      <c r="E18" s="7">
        <v>10</v>
      </c>
      <c r="F18" s="31"/>
      <c r="G18" s="31"/>
      <c r="H18" s="31"/>
      <c r="I18" s="31"/>
    </row>
    <row r="19" spans="1:9" ht="15.6">
      <c r="A19" s="40" t="s">
        <v>163</v>
      </c>
      <c r="B19" s="33" t="s">
        <v>147</v>
      </c>
      <c r="C19" s="7">
        <v>8.31</v>
      </c>
      <c r="D19" s="34">
        <f>E19</f>
        <v>7.14</v>
      </c>
      <c r="E19" s="7">
        <v>7.14</v>
      </c>
      <c r="F19" s="31"/>
      <c r="G19" s="31"/>
      <c r="H19" s="31"/>
      <c r="I19" s="31"/>
    </row>
    <row r="20" spans="1:9" ht="15.6">
      <c r="A20" s="160" t="s">
        <v>164</v>
      </c>
      <c r="B20" s="33" t="s">
        <v>147</v>
      </c>
      <c r="C20" s="155">
        <v>7.2709999999999999</v>
      </c>
      <c r="D20" s="155">
        <f>E20+E21</f>
        <v>8.7799999999999994</v>
      </c>
      <c r="E20" s="7">
        <v>3.78</v>
      </c>
      <c r="F20" s="31"/>
      <c r="G20" s="31"/>
      <c r="H20" s="31"/>
      <c r="I20" s="31"/>
    </row>
    <row r="21" spans="1:9" ht="15.6">
      <c r="A21" s="160"/>
      <c r="B21" s="33" t="s">
        <v>148</v>
      </c>
      <c r="C21" s="155"/>
      <c r="D21" s="155"/>
      <c r="E21" s="7">
        <v>5</v>
      </c>
      <c r="F21" s="31"/>
      <c r="G21" s="31"/>
      <c r="H21" s="31"/>
      <c r="I21" s="31"/>
    </row>
    <row r="22" spans="1:9" ht="31.2">
      <c r="A22" s="42" t="s">
        <v>167</v>
      </c>
      <c r="B22" s="33" t="s">
        <v>148</v>
      </c>
      <c r="C22" s="155">
        <v>7.2619999999999996</v>
      </c>
      <c r="D22" s="155">
        <f>E22+E23</f>
        <v>14.870000000000001</v>
      </c>
      <c r="E22" s="7">
        <v>8.24</v>
      </c>
      <c r="F22" s="31"/>
      <c r="G22" s="31"/>
      <c r="H22" s="31"/>
      <c r="I22" s="31"/>
    </row>
    <row r="23" spans="1:9" ht="15.6">
      <c r="A23" s="43" t="s">
        <v>168</v>
      </c>
      <c r="B23" s="33" t="s">
        <v>148</v>
      </c>
      <c r="C23" s="155"/>
      <c r="D23" s="155"/>
      <c r="E23" s="7">
        <v>6.63</v>
      </c>
      <c r="F23" s="31"/>
      <c r="G23" s="31"/>
      <c r="H23" s="31"/>
      <c r="I23" s="31"/>
    </row>
    <row r="24" spans="1:9" ht="15.6">
      <c r="A24" s="40" t="s">
        <v>165</v>
      </c>
      <c r="B24" s="33" t="s">
        <v>149</v>
      </c>
      <c r="C24" s="7">
        <v>7.2329999999999997</v>
      </c>
      <c r="D24" s="7">
        <f t="shared" ref="D24:D28" si="0">E24</f>
        <v>6.02</v>
      </c>
      <c r="E24" s="7">
        <v>6.02</v>
      </c>
      <c r="F24" s="31"/>
      <c r="G24" s="31"/>
      <c r="H24" s="31"/>
      <c r="I24" s="31"/>
    </row>
    <row r="25" spans="1:9" ht="15.6">
      <c r="A25" s="159" t="s">
        <v>169</v>
      </c>
      <c r="B25" s="33" t="s">
        <v>147</v>
      </c>
      <c r="C25" s="155">
        <v>4.7309999999999999</v>
      </c>
      <c r="D25" s="155">
        <f>E25+E26</f>
        <v>8.9400000000000013</v>
      </c>
      <c r="E25" s="7">
        <v>4</v>
      </c>
      <c r="F25" s="31"/>
      <c r="G25" s="31"/>
      <c r="H25" s="31"/>
      <c r="I25" s="31"/>
    </row>
    <row r="26" spans="1:9" ht="15.6">
      <c r="A26" s="159"/>
      <c r="B26" s="33" t="s">
        <v>148</v>
      </c>
      <c r="C26" s="155"/>
      <c r="D26" s="155"/>
      <c r="E26" s="7">
        <v>4.9400000000000004</v>
      </c>
      <c r="F26" s="31"/>
      <c r="G26" s="31"/>
      <c r="H26" s="31"/>
      <c r="I26" s="31"/>
    </row>
    <row r="27" spans="1:9" ht="31.2">
      <c r="A27" s="42" t="s">
        <v>170</v>
      </c>
      <c r="B27" s="33" t="s">
        <v>154</v>
      </c>
      <c r="C27" s="1">
        <v>0</v>
      </c>
      <c r="D27" s="7">
        <f t="shared" si="0"/>
        <v>7.3</v>
      </c>
      <c r="E27" s="1">
        <v>7.3</v>
      </c>
      <c r="F27" s="38"/>
      <c r="G27" s="38"/>
      <c r="H27" s="38"/>
      <c r="I27" s="38"/>
    </row>
    <row r="28" spans="1:9" ht="15.6">
      <c r="A28" s="40" t="s">
        <v>171</v>
      </c>
      <c r="B28" s="33" t="s">
        <v>149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A25:A26"/>
    <mergeCell ref="C20:C21"/>
    <mergeCell ref="C8:C9"/>
    <mergeCell ref="D8:D9"/>
    <mergeCell ref="D20:D21"/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П.1.1</vt:lpstr>
      <vt:lpstr>П.1.3</vt:lpstr>
      <vt:lpstr>П.2.2</vt:lpstr>
      <vt:lpstr>Для совещания</vt:lpstr>
      <vt:lpstr>П.1.1!Область_печати</vt:lpstr>
      <vt:lpstr>П.1.3!Область_печати</vt:lpstr>
      <vt:lpstr>П.2.2!Область_печати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2019-09-23T07:51:44Z</dcterms:modified>
</cp:coreProperties>
</file>