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П.1.1" sheetId="1" r:id="rId1"/>
    <sheet name="П.1.3" sheetId="4" r:id="rId2"/>
    <sheet name="Для совещания" sheetId="6" state="hidden" r:id="rId3"/>
  </sheets>
  <definedNames>
    <definedName name="_xlnm._FilterDatabase" localSheetId="0" hidden="1">П.1.1!$A$18:$W$72</definedName>
    <definedName name="_xlnm._FilterDatabase" localSheetId="1" hidden="1">П.1.3!$V$15:$AA$78</definedName>
    <definedName name="_xlnm.Print_Area" localSheetId="0">П.1.1!$A$1:$U$77</definedName>
    <definedName name="_xlnm.Print_Area" localSheetId="1">П.1.3!$A$1:$AI$79</definedName>
  </definedNames>
  <calcPr calcId="125725"/>
</workbook>
</file>

<file path=xl/calcChain.xml><?xml version="1.0" encoding="utf-8"?>
<calcChain xmlns="http://schemas.openxmlformats.org/spreadsheetml/2006/main">
  <c r="AH60" i="4"/>
  <c r="T58" i="1"/>
  <c r="AI59" i="4"/>
  <c r="O59" s="1"/>
  <c r="AG59"/>
  <c r="S57" i="1"/>
  <c r="AF59" i="4"/>
  <c r="R57" i="1"/>
  <c r="AE59" i="4"/>
  <c r="Q57" i="1"/>
  <c r="AD60" i="4"/>
  <c r="AI60" s="1"/>
  <c r="O60" s="1"/>
  <c r="P58" i="1"/>
  <c r="Y47" i="4"/>
  <c r="AD47"/>
  <c r="P45" i="1"/>
  <c r="AE26" i="4"/>
  <c r="AF26"/>
  <c r="AG26"/>
  <c r="AD26"/>
  <c r="Y26"/>
  <c r="Y27"/>
  <c r="Y25"/>
  <c r="D42" i="1"/>
  <c r="D58"/>
  <c r="AI26" i="4" l="1"/>
  <c r="R24" i="1"/>
  <c r="Q24"/>
  <c r="P24"/>
  <c r="O24"/>
  <c r="D24" s="1"/>
  <c r="O23"/>
  <c r="D23" s="1"/>
  <c r="U24" l="1"/>
  <c r="G24" s="1"/>
  <c r="H24" s="1"/>
  <c r="AI62" i="4"/>
  <c r="AI61"/>
  <c r="Y59"/>
  <c r="U40" i="1" l="1"/>
  <c r="U57" l="1"/>
  <c r="D60" l="1"/>
  <c r="U59" l="1"/>
  <c r="G59" s="1"/>
  <c r="H59" s="1"/>
  <c r="D59"/>
  <c r="U58"/>
  <c r="G58" s="1"/>
  <c r="H58" s="1"/>
  <c r="O57" l="1"/>
  <c r="D57" s="1"/>
  <c r="G57"/>
  <c r="H57" s="1"/>
  <c r="AE41" i="4"/>
  <c r="AF41"/>
  <c r="AG41"/>
  <c r="AH41"/>
  <c r="AD41"/>
  <c r="D17" i="1"/>
  <c r="AI42" i="4" l="1"/>
  <c r="AI41" s="1"/>
  <c r="AH58"/>
  <c r="AG58"/>
  <c r="AH57"/>
  <c r="AG57"/>
  <c r="AD56"/>
  <c r="AE56" s="1"/>
  <c r="AF56" s="1"/>
  <c r="AG56" s="1"/>
  <c r="AH56" s="1"/>
  <c r="AD55"/>
  <c r="AE55" s="1"/>
  <c r="AF55" s="1"/>
  <c r="AG55" s="1"/>
  <c r="AH55" s="1"/>
  <c r="AD54"/>
  <c r="AE54" s="1"/>
  <c r="AF54" s="1"/>
  <c r="AG54" s="1"/>
  <c r="AH54" s="1"/>
  <c r="AD53"/>
  <c r="AE53" s="1"/>
  <c r="AF53" s="1"/>
  <c r="AG53" s="1"/>
  <c r="AH53" s="1"/>
  <c r="AD52"/>
  <c r="AE52" s="1"/>
  <c r="AF52" s="1"/>
  <c r="AG52" s="1"/>
  <c r="AH52" s="1"/>
  <c r="AD51"/>
  <c r="AE51" s="1"/>
  <c r="AH50"/>
  <c r="AG50"/>
  <c r="AF50"/>
  <c r="AE50"/>
  <c r="AD50"/>
  <c r="AH49"/>
  <c r="AE48"/>
  <c r="AD48"/>
  <c r="AE46"/>
  <c r="AF46" s="1"/>
  <c r="AG27"/>
  <c r="AF27"/>
  <c r="AE27"/>
  <c r="AF25"/>
  <c r="AE25"/>
  <c r="AI25" s="1"/>
  <c r="AD24"/>
  <c r="AE24" s="1"/>
  <c r="AF24" s="1"/>
  <c r="AG24" s="1"/>
  <c r="AH24" s="1"/>
  <c r="AD23"/>
  <c r="AE23" s="1"/>
  <c r="AF23" s="1"/>
  <c r="AG23" s="1"/>
  <c r="AH23" s="1"/>
  <c r="AD22"/>
  <c r="AE22" s="1"/>
  <c r="AF22" s="1"/>
  <c r="AG22" s="1"/>
  <c r="AH22" s="1"/>
  <c r="AD21"/>
  <c r="J16"/>
  <c r="K16" s="1"/>
  <c r="L16" s="1"/>
  <c r="M16" s="1"/>
  <c r="D16"/>
  <c r="E16" s="1"/>
  <c r="F16" s="1"/>
  <c r="G16" s="1"/>
  <c r="D53" i="1"/>
  <c r="D55"/>
  <c r="D56"/>
  <c r="D49"/>
  <c r="D50"/>
  <c r="D51"/>
  <c r="D52"/>
  <c r="D54"/>
  <c r="D48"/>
  <c r="D46"/>
  <c r="D19"/>
  <c r="D20"/>
  <c r="D21"/>
  <c r="D22"/>
  <c r="D25"/>
  <c r="U47"/>
  <c r="G47" s="1"/>
  <c r="H47" s="1"/>
  <c r="Q39"/>
  <c r="R39"/>
  <c r="S39"/>
  <c r="T39"/>
  <c r="G40"/>
  <c r="H40" s="1"/>
  <c r="H39" s="1"/>
  <c r="P39"/>
  <c r="AE21" i="4" l="1"/>
  <c r="AD20"/>
  <c r="AD19" s="1"/>
  <c r="AE45"/>
  <c r="AE44" s="1"/>
  <c r="AD45"/>
  <c r="AD44" s="1"/>
  <c r="T18" i="1"/>
  <c r="T17" s="1"/>
  <c r="Q43"/>
  <c r="Q42" s="1"/>
  <c r="P18"/>
  <c r="P17" s="1"/>
  <c r="S18"/>
  <c r="S17" s="1"/>
  <c r="Q18"/>
  <c r="Q17" s="1"/>
  <c r="P43"/>
  <c r="R18"/>
  <c r="R17" s="1"/>
  <c r="AF51" i="4"/>
  <c r="AG51" s="1"/>
  <c r="AH51" s="1"/>
  <c r="AG46"/>
  <c r="U23" i="1"/>
  <c r="G23" s="1"/>
  <c r="H23" s="1"/>
  <c r="U25"/>
  <c r="G25" s="1"/>
  <c r="H25" s="1"/>
  <c r="U39"/>
  <c r="G39"/>
  <c r="U20"/>
  <c r="G20" s="1"/>
  <c r="H20" s="1"/>
  <c r="U19"/>
  <c r="U22"/>
  <c r="G22" s="1"/>
  <c r="H22" s="1"/>
  <c r="U21"/>
  <c r="G21" s="1"/>
  <c r="H21" s="1"/>
  <c r="AG45" i="4" l="1"/>
  <c r="AG44" s="1"/>
  <c r="AD18"/>
  <c r="AF21"/>
  <c r="AE20"/>
  <c r="AE19" s="1"/>
  <c r="AE18" s="1"/>
  <c r="AF45"/>
  <c r="AF44" s="1"/>
  <c r="Q16" i="1"/>
  <c r="G19"/>
  <c r="U18"/>
  <c r="U17" s="1"/>
  <c r="P42"/>
  <c r="P16" s="1"/>
  <c r="R43"/>
  <c r="R42" s="1"/>
  <c r="R16" s="1"/>
  <c r="AH46" i="4"/>
  <c r="O20"/>
  <c r="O41"/>
  <c r="AH45" l="1"/>
  <c r="AH44" s="1"/>
  <c r="AG21"/>
  <c r="AF20"/>
  <c r="AF19" s="1"/>
  <c r="AF18" s="1"/>
  <c r="T43" i="1"/>
  <c r="T42" s="1"/>
  <c r="T16" s="1"/>
  <c r="S43"/>
  <c r="S42" s="1"/>
  <c r="S16" s="1"/>
  <c r="U44"/>
  <c r="G44" s="1"/>
  <c r="H19"/>
  <c r="H18" s="1"/>
  <c r="H17" s="1"/>
  <c r="G18"/>
  <c r="G17" s="1"/>
  <c r="O19" i="4"/>
  <c r="AI49"/>
  <c r="AI50"/>
  <c r="AI22"/>
  <c r="AI23"/>
  <c r="AI24"/>
  <c r="AI27"/>
  <c r="AI48"/>
  <c r="AI51"/>
  <c r="AI52"/>
  <c r="AI53"/>
  <c r="AI54"/>
  <c r="AI55"/>
  <c r="AI56"/>
  <c r="AI57"/>
  <c r="AI58"/>
  <c r="AI46"/>
  <c r="H44" i="1" l="1"/>
  <c r="AH21" i="4"/>
  <c r="AG20"/>
  <c r="AG19" s="1"/>
  <c r="AG18" s="1"/>
  <c r="U43" i="1"/>
  <c r="U42" s="1"/>
  <c r="U16" s="1"/>
  <c r="U46"/>
  <c r="U49"/>
  <c r="G49" s="1"/>
  <c r="H49" s="1"/>
  <c r="U55"/>
  <c r="G55" s="1"/>
  <c r="H55" s="1"/>
  <c r="U56"/>
  <c r="G56" s="1"/>
  <c r="H56" s="1"/>
  <c r="G46" l="1"/>
  <c r="H46" s="1"/>
  <c r="AH20" i="4"/>
  <c r="AH19" s="1"/>
  <c r="AH18" s="1"/>
  <c r="AI21"/>
  <c r="AI20" s="1"/>
  <c r="AI19" s="1"/>
  <c r="D22" i="6"/>
  <c r="D25"/>
  <c r="D24"/>
  <c r="D27"/>
  <c r="D28"/>
  <c r="D20"/>
  <c r="D19"/>
  <c r="D18"/>
  <c r="D17"/>
  <c r="D16"/>
  <c r="E5"/>
  <c r="D6"/>
  <c r="D15"/>
  <c r="D13"/>
  <c r="D12"/>
  <c r="D11"/>
  <c r="D10"/>
  <c r="D8"/>
  <c r="C5"/>
  <c r="D5" l="1"/>
  <c r="B17" i="4" l="1"/>
  <c r="C17" s="1"/>
  <c r="D17" s="1"/>
  <c r="E17" s="1"/>
  <c r="F17" s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I47" l="1"/>
  <c r="AI45" l="1"/>
  <c r="AI44" s="1"/>
  <c r="AI18" s="1"/>
  <c r="O47"/>
  <c r="O45" s="1"/>
  <c r="O44" s="1"/>
  <c r="O18" s="1"/>
  <c r="U54" i="1"/>
  <c r="G54" s="1"/>
  <c r="H54" s="1"/>
  <c r="U53" l="1"/>
  <c r="G53" s="1"/>
  <c r="H53" s="1"/>
  <c r="U52" l="1"/>
  <c r="G52" s="1"/>
  <c r="H52" s="1"/>
  <c r="U51"/>
  <c r="G51" s="1"/>
  <c r="H51" s="1"/>
  <c r="U50"/>
  <c r="G50" s="1"/>
  <c r="H50" s="1"/>
  <c r="U48"/>
  <c r="G48" s="1"/>
  <c r="H48" s="1"/>
  <c r="U45" l="1"/>
  <c r="G45" s="1"/>
  <c r="H45" l="1"/>
  <c r="U60" l="1"/>
  <c r="G60" s="1"/>
  <c r="H60" l="1"/>
  <c r="H43" s="1"/>
  <c r="H42" s="1"/>
  <c r="H16" s="1"/>
  <c r="G43"/>
  <c r="G42" s="1"/>
  <c r="G16" s="1"/>
</calcChain>
</file>

<file path=xl/sharedStrings.xml><?xml version="1.0" encoding="utf-8"?>
<sst xmlns="http://schemas.openxmlformats.org/spreadsheetml/2006/main" count="590" uniqueCount="231">
  <si>
    <t>№ п/п</t>
  </si>
  <si>
    <t>Наименование объекта</t>
  </si>
  <si>
    <t>С/П *</t>
  </si>
  <si>
    <t>млн. рублей</t>
  </si>
  <si>
    <t>Ввод мощностей</t>
  </si>
  <si>
    <t>итого</t>
  </si>
  <si>
    <t>Объем финансирования****</t>
  </si>
  <si>
    <t>ВСЕГО</t>
  </si>
  <si>
    <t>Техническое перевооружение и реконструкция</t>
  </si>
  <si>
    <t>Энергосбережение и повышение энергетической эффективности</t>
  </si>
  <si>
    <t>1.1</t>
  </si>
  <si>
    <t>Приложение № 1.1
к Приказу Минэнерго России
от 24.03.2010 № 114</t>
  </si>
  <si>
    <t>Утверждаю</t>
  </si>
  <si>
    <t>(подпись)</t>
  </si>
  <si>
    <t>М.П.</t>
  </si>
  <si>
    <t>Перечень инвестиционных проектов на период реализации инвестиционной программы и план их финансирования</t>
  </si>
  <si>
    <t>1.1.1</t>
  </si>
  <si>
    <t>С/П</t>
  </si>
  <si>
    <t>Реконструкция электрических сетей  0,4-10(6)кВ в городе Вихоревка,  поселках Братского и Нижнеилимского района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</si>
  <si>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1.1.2</t>
  </si>
  <si>
    <t>Реконструкция электрических сетей  0,4-10(6)кВ в Чунском районе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</si>
  <si>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1.1.3</t>
  </si>
  <si>
    <t>1.1.4</t>
  </si>
  <si>
    <t>Реконструкция электрических сетей  0,4-10(6)кВ в Ленинском районе города Иркутска, Иркутском и Ангарском районах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</si>
  <si>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 xml:space="preserve">Реконструкция электрических сетей 10-0,4кВ с заменой оборудования и прокладкой новых линий электропередачи для обеспечения качества электроэнергии и надежности электроснабжения объектов водозабора в жилом районе Центральный города Братска </t>
  </si>
  <si>
    <t>1.1.5</t>
  </si>
  <si>
    <t>1.1.6</t>
  </si>
  <si>
    <t>…</t>
  </si>
  <si>
    <t>Создание систем противоаварийной и режимной автоматики</t>
  </si>
  <si>
    <t>1.2</t>
  </si>
  <si>
    <t>Объект 1</t>
  </si>
  <si>
    <t>Объект 2</t>
  </si>
  <si>
    <t>1</t>
  </si>
  <si>
    <t>2</t>
  </si>
  <si>
    <t>Создание систем телемеханики и связи</t>
  </si>
  <si>
    <t>1.3</t>
  </si>
  <si>
    <t>Установка устройств регулирования напряжения и компенсации реактивной мощности</t>
  </si>
  <si>
    <t>1.4</t>
  </si>
  <si>
    <t>1.5</t>
  </si>
  <si>
    <t>Прочее</t>
  </si>
  <si>
    <t>Приобретение автотехники</t>
  </si>
  <si>
    <t>1.5.1</t>
  </si>
  <si>
    <t>Новое строительство</t>
  </si>
  <si>
    <t>2.1</t>
  </si>
  <si>
    <t>2.1.1</t>
  </si>
  <si>
    <t xml:space="preserve">Строительство ВЛ-35 кВ,  ПС 35/6кВ "Боково" в Ленинском районе города Иркутска </t>
  </si>
  <si>
    <t>2.1.2</t>
  </si>
  <si>
    <t>2.1.4</t>
  </si>
  <si>
    <t>2.1.5</t>
  </si>
  <si>
    <t>2.1.7</t>
  </si>
  <si>
    <t>2.1.8</t>
  </si>
  <si>
    <t xml:space="preserve">Строительство электрических сетей напряжением 6 кВ от новой ПС 35/6кВ "Боково" в Ленинском районе города Иркутска </t>
  </si>
  <si>
    <t>Строительство электрических сетей напряжением 10(6)-0,4 кВ в п.Мегет,  Ангарском районе</t>
  </si>
  <si>
    <t>2.1.9</t>
  </si>
  <si>
    <t>Строительство электрических сетей в жилом районе Порожский, городе Братске</t>
  </si>
  <si>
    <t>Строительство электрических сетей в Нижнеилимском районе</t>
  </si>
  <si>
    <t>Строительство электрических сетей в Чунском районе</t>
  </si>
  <si>
    <t>2.1.10</t>
  </si>
  <si>
    <t>2.1.11</t>
  </si>
  <si>
    <t>Строительство электрических сетей 0,4-10(6)кВ в городе Братске</t>
  </si>
  <si>
    <t>2.1.12</t>
  </si>
  <si>
    <t>2.1.13</t>
  </si>
  <si>
    <t>2.1.14</t>
  </si>
  <si>
    <t>2.1.15</t>
  </si>
  <si>
    <t>2.2</t>
  </si>
  <si>
    <t>Прочее новое строительство</t>
  </si>
  <si>
    <t>в том числе ПТП</t>
  </si>
  <si>
    <t>Справочно:</t>
  </si>
  <si>
    <t>Оплата процентов за привлеченные кредитные ресурсы</t>
  </si>
  <si>
    <t>С - строительство, П - проектирование.</t>
  </si>
  <si>
    <t>*</t>
  </si>
  <si>
    <t>**</t>
  </si>
  <si>
    <t>***</t>
  </si>
  <si>
    <t>Согласно проектной документации в текущих ценах (без НДС).</t>
  </si>
  <si>
    <t>Для сетевых организаций, переходящих на метод тарифного регулирования RAB, горизонт планирования может быть больше.</t>
  </si>
  <si>
    <t>В прогнозных ценах соответствующего года.</t>
  </si>
  <si>
    <t>****</t>
  </si>
  <si>
    <t>2 км</t>
  </si>
  <si>
    <t>ИП-2019</t>
  </si>
  <si>
    <t>1,6 км</t>
  </si>
  <si>
    <t>Приложение № 1.3
к Приказу Минэнерго России
от 24.03.2010 № 114</t>
  </si>
  <si>
    <t>Наименование проекта</t>
  </si>
  <si>
    <t>Ввод мощностей *</t>
  </si>
  <si>
    <t>МВт, Гкал/час, км, МВА</t>
  </si>
  <si>
    <t>Итого</t>
  </si>
  <si>
    <t xml:space="preserve">Вывод мощностей </t>
  </si>
  <si>
    <t>млн. руб.</t>
  </si>
  <si>
    <t>Ввод основных средств сетевых организаций</t>
  </si>
  <si>
    <t>I кв.</t>
  </si>
  <si>
    <t>II кв.</t>
  </si>
  <si>
    <t>III кв.</t>
  </si>
  <si>
    <t>IV кв.</t>
  </si>
  <si>
    <t>км/МВ·А/другое ***</t>
  </si>
  <si>
    <t xml:space="preserve">*  </t>
  </si>
  <si>
    <t>Не заполняется сетевыми организациями.</t>
  </si>
  <si>
    <t xml:space="preserve">** </t>
  </si>
  <si>
    <t>При осуществлении технического перевооружения и реконструкции действующих объектов основных средств указывается увеличение первоначальной стоимости объектов основных средств (без НДС) в результате технического перевооружения и реконструкции.</t>
  </si>
  <si>
    <t xml:space="preserve">***  </t>
  </si>
  <si>
    <t>Иные натуральные количественные показатели объектов основных средств.</t>
  </si>
  <si>
    <t>Объем финансирования, млн.руб</t>
  </si>
  <si>
    <t>Номер объекта</t>
  </si>
  <si>
    <t>1.6 Автотехника</t>
  </si>
  <si>
    <t>2.1 АИИСКУЭ</t>
  </si>
  <si>
    <t>2.2 ПС Боково</t>
  </si>
  <si>
    <t>2.3 Боково сети</t>
  </si>
  <si>
    <t>Сетевой район</t>
  </si>
  <si>
    <t>РЭС-1</t>
  </si>
  <si>
    <t>РЭС-2</t>
  </si>
  <si>
    <t>РЭС-3</t>
  </si>
  <si>
    <t>РЭС-Ирк</t>
  </si>
  <si>
    <t>АТЦ</t>
  </si>
  <si>
    <t>СКЭ</t>
  </si>
  <si>
    <t>ПТО</t>
  </si>
  <si>
    <t>РЭС-4</t>
  </si>
  <si>
    <t>Всего</t>
  </si>
  <si>
    <r>
      <rPr>
        <b/>
        <sz val="12"/>
        <color theme="1"/>
        <rFont val="Times New Roman"/>
        <family val="1"/>
        <charset val="204"/>
      </rPr>
      <t>ИТОГО</t>
    </r>
    <r>
      <rPr>
        <sz val="12"/>
        <color theme="1"/>
        <rFont val="Times New Roman"/>
        <family val="1"/>
        <charset val="204"/>
      </rPr>
      <t xml:space="preserve"> 
Предложения по корректировке на 01.09.2018г.</t>
    </r>
  </si>
  <si>
    <t>1.1 Реконструкция Братск</t>
  </si>
  <si>
    <t>1.2 Реконструкция г.Вихоревка, поселки Братского района</t>
  </si>
  <si>
    <t>1.3 Реконструкция Чунский р-н</t>
  </si>
  <si>
    <t>1.4 Реконструкция Иркутск</t>
  </si>
  <si>
    <t>1.5 Водозабор</t>
  </si>
  <si>
    <t>2.6 ПС Индустриальная</t>
  </si>
  <si>
    <t>2.8 Порожский (строительство)</t>
  </si>
  <si>
    <t>2.9 Строительство г.Вихоревка и поселки Бр-ого района</t>
  </si>
  <si>
    <t>2.11 Строительство Чунский р-н</t>
  </si>
  <si>
    <t>2.5 п.Мегет (строительство)</t>
  </si>
  <si>
    <t>2.10 Строительство Нижнеилимский р-н в том числе:</t>
  </si>
  <si>
    <t>п.Соцгородок</t>
  </si>
  <si>
    <t>2.13 Строительство г.Братск</t>
  </si>
  <si>
    <t>2.15 Строительство Усть-Илимск (реконструкция)</t>
  </si>
  <si>
    <t>2.16 д.Захаровка</t>
  </si>
  <si>
    <t>Утверждено</t>
  </si>
  <si>
    <r>
      <t xml:space="preserve">с разбивкой по </t>
    </r>
    <r>
      <rPr>
        <b/>
        <sz val="12"/>
        <color theme="1"/>
        <rFont val="Times New Roman"/>
        <family val="1"/>
        <charset val="204"/>
      </rPr>
      <t>Сетевым районам</t>
    </r>
    <r>
      <rPr>
        <sz val="12"/>
        <color theme="1"/>
        <rFont val="Times New Roman"/>
        <family val="1"/>
        <charset val="204"/>
      </rPr>
      <t xml:space="preserve">
Предложения по корректировке на 01.09.2018г.</t>
    </r>
  </si>
  <si>
    <r>
      <rPr>
        <b/>
        <sz val="12"/>
        <color theme="1"/>
        <rFont val="Times New Roman"/>
        <family val="1"/>
        <charset val="204"/>
      </rPr>
      <t>Примечание</t>
    </r>
    <r>
      <rPr>
        <sz val="12"/>
        <color theme="1"/>
        <rFont val="Times New Roman"/>
        <family val="1"/>
        <charset val="204"/>
      </rPr>
      <t>: для сетевых объектов с разделением объектов на ПС, ВЛ и КЛ.</t>
    </r>
  </si>
  <si>
    <r>
      <rPr>
        <b/>
        <sz val="12"/>
        <rFont val="Times New Roman"/>
        <family val="1"/>
        <charset val="204"/>
      </rPr>
      <t>Примечание</t>
    </r>
    <r>
      <rPr>
        <sz val="12"/>
        <rFont val="Times New Roman"/>
        <family val="1"/>
        <charset val="204"/>
      </rPr>
      <t>: для сетевых объектов с разделением объектов на подстанции, воздушные линии и кабельные линии.</t>
    </r>
  </si>
  <si>
    <t>АО "БЭСК"</t>
  </si>
  <si>
    <t>Реконструкция электрических сетей  0,4-10(6)кВ в городе Братске с заменой голого провода на ВЛ на СИП, заменой КЛ 0,4-10(6)кВ, заменой старых и установкой новых КТПН для обеспечения качества электроэнергии и надежности электроснабжения потребителей</t>
  </si>
  <si>
    <t>Строительство электрических сетей в городе Вихоревка, поселках Братского района</t>
  </si>
  <si>
    <t>МВА/км</t>
  </si>
  <si>
    <t>Остаточ-ная стоимость строитель-ства **</t>
  </si>
  <si>
    <t>План 
финанси-рования текущего года</t>
  </si>
  <si>
    <t>Год 
начала строитель-ства</t>
  </si>
  <si>
    <t>Год 
окончания строитель-ства</t>
  </si>
  <si>
    <t>Проектная мощность/ 
протяжен-ность сетей</t>
  </si>
  <si>
    <t>Полная 
стоимость строитель-ства **</t>
  </si>
  <si>
    <t>1.1.7</t>
  </si>
  <si>
    <t>20 МВА</t>
  </si>
  <si>
    <t>Реконструкция ПС 35/6 кВ "Порожская" в жилом районе Порожский города Братск</t>
  </si>
  <si>
    <t>Строительство электрических сетей 6кВ от ПС "Строительная" в городе Усть-Илимске</t>
  </si>
  <si>
    <t>Строительство РП-6кВ в городе Усть-Илимске</t>
  </si>
  <si>
    <t>Строительство ВЛ-35кВ, ПС 35/10кВ в поселке Прибрежный Братского района</t>
  </si>
  <si>
    <t>2,52 МВА
6,8 км</t>
  </si>
  <si>
    <t>0,8 МВА
3,4 км</t>
  </si>
  <si>
    <t>Автоматизированная 
информационно-измерительная система  учета электроэнергии АО «БЭСК»</t>
  </si>
  <si>
    <t>2.1.3</t>
  </si>
  <si>
    <t>Строительство электрических сетей напряжением 10(6)-0,4кВ в городе Усть-Илимске</t>
  </si>
  <si>
    <t>0,4 МВА
1,1 км</t>
  </si>
  <si>
    <t>1,26 МВА
3,4 км</t>
  </si>
  <si>
    <t>0,4 МВА
2,5 км</t>
  </si>
  <si>
    <t>1,26 МВА
2,2 км</t>
  </si>
  <si>
    <t>РП-6кВ
14 ячеек</t>
  </si>
  <si>
    <t>план 
2020 года</t>
  </si>
  <si>
    <t>план 
2021 года</t>
  </si>
  <si>
    <t>план 
2022 года</t>
  </si>
  <si>
    <t>план 
2023 года</t>
  </si>
  <si>
    <t>план 
2024 года</t>
  </si>
  <si>
    <t>12,6 МВА
34 км</t>
  </si>
  <si>
    <t>6,3 МВА
11 км</t>
  </si>
  <si>
    <t>6,3 МВА
17 км</t>
  </si>
  <si>
    <t>4 МВА
17 км</t>
  </si>
  <si>
    <t>0,75 МВА
2,1 км</t>
  </si>
  <si>
    <t>3,75 МВА
10,5 км</t>
  </si>
  <si>
    <t>2 МВА
12,5 км</t>
  </si>
  <si>
    <t>0,4 МВА
0,8 км</t>
  </si>
  <si>
    <t>0,8 МВА
3 км</t>
  </si>
  <si>
    <t>8 км</t>
  </si>
  <si>
    <t>4км</t>
  </si>
  <si>
    <t>0,8 МВА
3,7 км</t>
  </si>
  <si>
    <t xml:space="preserve">4 км </t>
  </si>
  <si>
    <t xml:space="preserve">2,6 км </t>
  </si>
  <si>
    <t xml:space="preserve">2 км </t>
  </si>
  <si>
    <t>2 МВА
5,5 км</t>
  </si>
  <si>
    <t>Стадия реализа-ции проекта</t>
  </si>
  <si>
    <t>Прогноз ввода/вывода объектов инвестиционной программы 2020 - 2024 гг.</t>
  </si>
  <si>
    <t>Первоначальная стоимость вводимых основных средств (без НДС)**</t>
  </si>
  <si>
    <t>план 2020 года</t>
  </si>
  <si>
    <t>План 2021 года</t>
  </si>
  <si>
    <t>План 2022 года</t>
  </si>
  <si>
    <t>План 2023 года</t>
  </si>
  <si>
    <t>План 2024 года</t>
  </si>
  <si>
    <t>В.В. Воробьёв</t>
  </si>
  <si>
    <t>"____"_________________ 2019 г.</t>
  </si>
  <si>
    <t>Акционерное общество "Братская электросетевая компания"</t>
  </si>
  <si>
    <t>2 МВА
19,5 км</t>
  </si>
  <si>
    <t>2.1.16</t>
  </si>
  <si>
    <t>2.1.17</t>
  </si>
  <si>
    <t>2.1.18</t>
  </si>
  <si>
    <t>Строительство ВЛ-35 кВ,  ПС 35/10кВ в п.Янталь, Усть-Кутского района</t>
  </si>
  <si>
    <t>2,5 МВА</t>
  </si>
  <si>
    <t>Строительство ПС 27,5/10кВ. Распределительных сетей 10-0,4кВ в п.Парижская Коммуна, Тайшетского района</t>
  </si>
  <si>
    <t>0,4 МВА
1,5 км</t>
  </si>
  <si>
    <t>0,8 МВА
2,2 км</t>
  </si>
  <si>
    <t>4,1 МВА
5,2 км</t>
  </si>
  <si>
    <t>Строительство распределительных сетей 10-0,4кВ в п.Янталь, Усть-Кутского района</t>
  </si>
  <si>
    <t>1,28 МВА
4,2 км</t>
  </si>
  <si>
    <t>0,4 МВА
0,5 км</t>
  </si>
  <si>
    <t>1,26 МВА
1,5 км</t>
  </si>
  <si>
    <t>1,13 МВА
3,9 км</t>
  </si>
  <si>
    <t>0,8 МВА
2,3 км</t>
  </si>
  <si>
    <t>0,88 МВА
3 км</t>
  </si>
  <si>
    <t>0,25 МВА
3,2 км</t>
  </si>
  <si>
    <t>1,05 МВА
5,5 км</t>
  </si>
  <si>
    <t>4,11 МВА
17,9 км</t>
  </si>
  <si>
    <t>Строительство распределительных сетей 10-0,4кВ в г.Тайшет, п.Тагул, д.Сергина, п.Невельская, д.Малиновка, г.Бирюсинск Тайшетского района</t>
  </si>
  <si>
    <t>И.о. генерального директора</t>
  </si>
  <si>
    <t>КЛ-10кВ
1,4 км
РП-10кВ
7 ячеек с ВВ</t>
  </si>
  <si>
    <t>Реконструкция ВЛ-35кВ, ПС 35/6 кВ "Строительная" в городе Усть-Илимске</t>
  </si>
  <si>
    <t>2,16 МВА
6,4 км</t>
  </si>
  <si>
    <t>0,88 МВА
5,9 км</t>
  </si>
  <si>
    <t>5,98 МВА
18,5 км</t>
  </si>
  <si>
    <t>76,35 МВА
90,7 км</t>
  </si>
  <si>
    <t>32 МВА
2-х цепная ВЛ 10,8 км</t>
  </si>
  <si>
    <t>32 МВА
 2-х цепная ВЛ 3,2 км</t>
  </si>
  <si>
    <t xml:space="preserve">4,2 км </t>
  </si>
  <si>
    <t>93,39 МВА
168,8 км</t>
  </si>
  <si>
    <t>169,74 МВА
259,5 км</t>
  </si>
  <si>
    <t>8 МВА
 2-х цепная ВЛ 8,9 км</t>
  </si>
  <si>
    <t>12,6 МВА
2-х цепная ВЛ 0,5 км</t>
  </si>
  <si>
    <t>ПИР</t>
  </si>
  <si>
    <t>ПИР
ВЛ-35кВ
8,9км х 1цепь
ПС35/10кВ
4МВА х 2шт.</t>
  </si>
  <si>
    <t>ПИР
ВЛ-35кВ
закуп 
тр-ров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</si>
</sst>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0.000"/>
    <numFmt numFmtId="166" formatCode="#,##0.0000"/>
    <numFmt numFmtId="167" formatCode="#,##0.00000000"/>
    <numFmt numFmtId="168" formatCode="0.00000"/>
  </numFmts>
  <fonts count="2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164" fontId="6" fillId="0" borderId="3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0" fontId="6" fillId="2" borderId="0" xfId="0" applyFont="1" applyFill="1"/>
    <xf numFmtId="0" fontId="9" fillId="2" borderId="0" xfId="0" applyFont="1" applyFill="1"/>
    <xf numFmtId="164" fontId="6" fillId="2" borderId="3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0" fontId="9" fillId="2" borderId="0" xfId="0" applyFont="1" applyFill="1" applyBorder="1"/>
    <xf numFmtId="0" fontId="0" fillId="2" borderId="0" xfId="0" applyFill="1" applyBorder="1"/>
    <xf numFmtId="0" fontId="3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 wrapText="1"/>
    </xf>
    <xf numFmtId="0" fontId="5" fillId="2" borderId="0" xfId="0" applyFont="1" applyFill="1"/>
    <xf numFmtId="0" fontId="3" fillId="2" borderId="0" xfId="0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right"/>
    </xf>
    <xf numFmtId="0" fontId="3" fillId="2" borderId="0" xfId="0" applyFont="1" applyFill="1" applyAlignment="1">
      <alignment vertical="top"/>
    </xf>
    <xf numFmtId="0" fontId="0" fillId="2" borderId="0" xfId="0" applyFill="1" applyAlignment="1">
      <alignment horizontal="center" vertical="center"/>
    </xf>
    <xf numFmtId="0" fontId="10" fillId="2" borderId="0" xfId="0" applyFont="1" applyFill="1"/>
    <xf numFmtId="164" fontId="10" fillId="2" borderId="0" xfId="0" applyNumberFormat="1" applyFont="1" applyFill="1"/>
    <xf numFmtId="0" fontId="0" fillId="0" borderId="0" xfId="0" applyFont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12" fillId="2" borderId="0" xfId="0" applyFont="1" applyFill="1"/>
    <xf numFmtId="0" fontId="12" fillId="0" borderId="0" xfId="0" applyFont="1"/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/>
    <xf numFmtId="164" fontId="11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6" fillId="2" borderId="0" xfId="0" applyFont="1" applyFill="1"/>
    <xf numFmtId="0" fontId="16" fillId="2" borderId="0" xfId="0" applyFont="1" applyFill="1" applyBorder="1"/>
    <xf numFmtId="0" fontId="16" fillId="2" borderId="0" xfId="0" applyFont="1" applyFill="1" applyAlignment="1">
      <alignment horizontal="center" vertical="top"/>
    </xf>
    <xf numFmtId="0" fontId="16" fillId="2" borderId="3" xfId="0" applyFont="1" applyFill="1" applyBorder="1"/>
    <xf numFmtId="164" fontId="17" fillId="2" borderId="3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164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left" vertical="center" wrapText="1"/>
    </xf>
    <xf numFmtId="49" fontId="18" fillId="2" borderId="3" xfId="0" applyNumberFormat="1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164" fontId="18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center" vertical="center" wrapText="1"/>
    </xf>
    <xf numFmtId="0" fontId="16" fillId="2" borderId="3" xfId="0" applyNumberFormat="1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/>
    </xf>
    <xf numFmtId="49" fontId="16" fillId="2" borderId="3" xfId="0" applyNumberFormat="1" applyFont="1" applyFill="1" applyBorder="1" applyAlignment="1">
      <alignment horizontal="center"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164" fontId="17" fillId="2" borderId="9" xfId="0" applyNumberFormat="1" applyFont="1" applyFill="1" applyBorder="1" applyAlignment="1">
      <alignment horizontal="center" vertical="center"/>
    </xf>
    <xf numFmtId="164" fontId="22" fillId="2" borderId="3" xfId="0" applyNumberFormat="1" applyFont="1" applyFill="1" applyBorder="1" applyAlignment="1">
      <alignment horizontal="center" vertical="center" wrapText="1"/>
    </xf>
    <xf numFmtId="164" fontId="16" fillId="2" borderId="9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horizontal="center" vertical="center" wrapText="1"/>
    </xf>
    <xf numFmtId="16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/>
    <xf numFmtId="0" fontId="18" fillId="2" borderId="0" xfId="0" applyFont="1" applyFill="1"/>
    <xf numFmtId="0" fontId="8" fillId="2" borderId="0" xfId="0" applyFont="1" applyFill="1" applyAlignment="1">
      <alignment horizontal="center" vertical="center"/>
    </xf>
    <xf numFmtId="164" fontId="18" fillId="0" borderId="3" xfId="0" applyNumberFormat="1" applyFont="1" applyFill="1" applyBorder="1" applyAlignment="1">
      <alignment horizontal="center" vertical="center" wrapText="1"/>
    </xf>
    <xf numFmtId="165" fontId="18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/>
    <xf numFmtId="0" fontId="24" fillId="2" borderId="0" xfId="0" applyFont="1" applyFill="1"/>
    <xf numFmtId="164" fontId="24" fillId="2" borderId="0" xfId="0" applyNumberFormat="1" applyFont="1" applyFill="1"/>
    <xf numFmtId="0" fontId="25" fillId="2" borderId="0" xfId="0" applyFont="1" applyFill="1"/>
    <xf numFmtId="165" fontId="18" fillId="0" borderId="3" xfId="0" applyNumberFormat="1" applyFont="1" applyFill="1" applyBorder="1" applyAlignment="1">
      <alignment horizontal="center" vertical="center" wrapText="1"/>
    </xf>
    <xf numFmtId="0" fontId="19" fillId="2" borderId="0" xfId="0" applyFont="1" applyFill="1"/>
    <xf numFmtId="164" fontId="18" fillId="0" borderId="3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166" fontId="17" fillId="2" borderId="3" xfId="0" applyNumberFormat="1" applyFont="1" applyFill="1" applyBorder="1" applyAlignment="1">
      <alignment horizontal="center" vertical="center"/>
    </xf>
    <xf numFmtId="167" fontId="17" fillId="2" borderId="3" xfId="0" applyNumberFormat="1" applyFont="1" applyFill="1" applyBorder="1" applyAlignment="1">
      <alignment horizontal="center" vertical="center"/>
    </xf>
    <xf numFmtId="168" fontId="16" fillId="2" borderId="3" xfId="0" applyNumberFormat="1" applyFont="1" applyFill="1" applyBorder="1"/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26" fillId="0" borderId="0" xfId="0" applyFont="1"/>
    <xf numFmtId="0" fontId="26" fillId="2" borderId="0" xfId="0" applyFont="1" applyFill="1"/>
    <xf numFmtId="0" fontId="17" fillId="2" borderId="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top"/>
    </xf>
    <xf numFmtId="0" fontId="16" fillId="2" borderId="0" xfId="0" applyFont="1" applyFill="1" applyBorder="1" applyAlignment="1">
      <alignment horizontal="center" vertical="top"/>
    </xf>
    <xf numFmtId="0" fontId="9" fillId="2" borderId="0" xfId="0" applyFont="1" applyFill="1" applyAlignment="1">
      <alignment horizontal="right" vertical="top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49" fontId="21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7" fillId="2" borderId="4" xfId="0" applyFont="1" applyFill="1" applyBorder="1" applyAlignment="1">
      <alignment horizontal="center" vertical="center" textRotation="90" wrapText="1"/>
    </xf>
    <xf numFmtId="0" fontId="17" fillId="2" borderId="5" xfId="0" applyFont="1" applyFill="1" applyBorder="1" applyAlignment="1">
      <alignment horizontal="center" vertical="center" textRotation="90" wrapText="1"/>
    </xf>
    <xf numFmtId="0" fontId="17" fillId="2" borderId="6" xfId="0" applyFont="1" applyFill="1" applyBorder="1" applyAlignment="1">
      <alignment horizontal="center" vertical="center" textRotation="90" wrapText="1"/>
    </xf>
    <xf numFmtId="0" fontId="17" fillId="2" borderId="3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/>
    </xf>
    <xf numFmtId="164" fontId="6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CC"/>
      <color rgb="FFDB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79"/>
  <sheetViews>
    <sheetView tabSelected="1" zoomScale="40" zoomScaleNormal="40" zoomScaleSheetLayoutView="40" zoomScalePageLayoutView="55" workbookViewId="0">
      <selection activeCell="O19" sqref="O19"/>
    </sheetView>
  </sheetViews>
  <sheetFormatPr defaultRowHeight="21"/>
  <cols>
    <col min="1" max="1" width="10.6640625" style="18" customWidth="1"/>
    <col min="2" max="2" width="31.5546875" style="4" customWidth="1"/>
    <col min="3" max="3" width="12" style="4" customWidth="1"/>
    <col min="4" max="4" width="15.5546875" style="4" customWidth="1"/>
    <col min="5" max="5" width="13.88671875" style="4" customWidth="1"/>
    <col min="6" max="6" width="14.88671875" style="4" customWidth="1"/>
    <col min="7" max="7" width="14.6640625" style="4" customWidth="1"/>
    <col min="8" max="8" width="14.109375" style="4" customWidth="1"/>
    <col min="9" max="9" width="12.5546875" style="4" customWidth="1"/>
    <col min="10" max="14" width="13.6640625" style="4" customWidth="1"/>
    <col min="15" max="15" width="13.44140625" style="4" customWidth="1"/>
    <col min="16" max="19" width="15.6640625" style="4" customWidth="1"/>
    <col min="20" max="20" width="15.6640625" style="24" customWidth="1"/>
    <col min="21" max="21" width="18.5546875" style="4" customWidth="1"/>
    <col min="24" max="24" width="8.88671875" style="103"/>
  </cols>
  <sheetData>
    <row r="1" spans="1:24" ht="42" customHeight="1">
      <c r="S1" s="111" t="s">
        <v>11</v>
      </c>
      <c r="T1" s="111"/>
      <c r="U1" s="111"/>
    </row>
    <row r="2" spans="1:24">
      <c r="S2" s="112" t="s">
        <v>12</v>
      </c>
      <c r="T2" s="112"/>
      <c r="U2" s="112"/>
    </row>
    <row r="3" spans="1:24">
      <c r="S3" s="112" t="s">
        <v>214</v>
      </c>
      <c r="T3" s="112"/>
      <c r="U3" s="112"/>
    </row>
    <row r="4" spans="1:24">
      <c r="S4" s="113" t="s">
        <v>135</v>
      </c>
      <c r="T4" s="113"/>
      <c r="U4" s="113"/>
    </row>
    <row r="5" spans="1:24">
      <c r="S5" s="114" t="s">
        <v>190</v>
      </c>
      <c r="T5" s="114"/>
      <c r="U5" s="114"/>
    </row>
    <row r="6" spans="1:24" ht="28.95" customHeight="1">
      <c r="Q6" s="3"/>
      <c r="R6" s="3"/>
      <c r="S6" s="47"/>
      <c r="T6" s="78"/>
      <c r="U6" s="48"/>
    </row>
    <row r="7" spans="1:24">
      <c r="Q7" s="3"/>
      <c r="R7" s="3"/>
      <c r="S7" s="109" t="s">
        <v>13</v>
      </c>
      <c r="T7" s="109"/>
      <c r="U7" s="110"/>
    </row>
    <row r="8" spans="1:24" ht="18" customHeight="1">
      <c r="R8" s="117" t="s">
        <v>191</v>
      </c>
      <c r="S8" s="117"/>
      <c r="T8" s="117"/>
      <c r="U8" s="117"/>
    </row>
    <row r="9" spans="1:24" s="4" customFormat="1">
      <c r="A9" s="18"/>
      <c r="Q9" s="3"/>
      <c r="R9" s="3"/>
      <c r="S9" s="47"/>
      <c r="T9" s="79"/>
      <c r="U9" s="49" t="s">
        <v>14</v>
      </c>
      <c r="X9" s="104"/>
    </row>
    <row r="10" spans="1:24" s="4" customFormat="1" ht="22.8">
      <c r="A10" s="118" t="s">
        <v>192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X10" s="104"/>
    </row>
    <row r="11" spans="1:24" s="4" customFormat="1" ht="22.8">
      <c r="A11" s="118" t="s">
        <v>15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X11" s="104"/>
    </row>
    <row r="12" spans="1:24" s="4" customFormat="1">
      <c r="A12" s="18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80"/>
      <c r="U12" s="2"/>
      <c r="X12" s="104"/>
    </row>
    <row r="13" spans="1:24" s="4" customFormat="1" ht="49.5" customHeight="1">
      <c r="A13" s="116" t="s">
        <v>0</v>
      </c>
      <c r="B13" s="116" t="s">
        <v>1</v>
      </c>
      <c r="C13" s="116" t="s">
        <v>182</v>
      </c>
      <c r="D13" s="116" t="s">
        <v>143</v>
      </c>
      <c r="E13" s="116" t="s">
        <v>141</v>
      </c>
      <c r="F13" s="116" t="s">
        <v>142</v>
      </c>
      <c r="G13" s="116" t="s">
        <v>144</v>
      </c>
      <c r="H13" s="116" t="s">
        <v>139</v>
      </c>
      <c r="I13" s="116" t="s">
        <v>140</v>
      </c>
      <c r="J13" s="116" t="s">
        <v>4</v>
      </c>
      <c r="K13" s="116"/>
      <c r="L13" s="116"/>
      <c r="M13" s="116"/>
      <c r="N13" s="116"/>
      <c r="O13" s="116"/>
      <c r="P13" s="116" t="s">
        <v>6</v>
      </c>
      <c r="Q13" s="116"/>
      <c r="R13" s="116"/>
      <c r="S13" s="116"/>
      <c r="T13" s="116"/>
      <c r="U13" s="116"/>
      <c r="X13" s="104"/>
    </row>
    <row r="14" spans="1:24" s="4" customFormat="1" ht="57" customHeight="1">
      <c r="A14" s="116"/>
      <c r="B14" s="116"/>
      <c r="C14" s="116"/>
      <c r="D14" s="116"/>
      <c r="E14" s="116"/>
      <c r="F14" s="116"/>
      <c r="G14" s="116"/>
      <c r="H14" s="116"/>
      <c r="I14" s="116"/>
      <c r="J14" s="83" t="s">
        <v>161</v>
      </c>
      <c r="K14" s="83" t="s">
        <v>162</v>
      </c>
      <c r="L14" s="83" t="s">
        <v>163</v>
      </c>
      <c r="M14" s="83" t="s">
        <v>164</v>
      </c>
      <c r="N14" s="83" t="s">
        <v>165</v>
      </c>
      <c r="O14" s="83" t="s">
        <v>5</v>
      </c>
      <c r="P14" s="83" t="s">
        <v>161</v>
      </c>
      <c r="Q14" s="83" t="s">
        <v>162</v>
      </c>
      <c r="R14" s="83" t="s">
        <v>163</v>
      </c>
      <c r="S14" s="83" t="s">
        <v>164</v>
      </c>
      <c r="T14" s="83" t="s">
        <v>165</v>
      </c>
      <c r="U14" s="83" t="s">
        <v>5</v>
      </c>
      <c r="X14" s="104"/>
    </row>
    <row r="15" spans="1:24" s="4" customFormat="1" ht="49.5" customHeight="1">
      <c r="A15" s="85"/>
      <c r="B15" s="99"/>
      <c r="C15" s="85" t="s">
        <v>2</v>
      </c>
      <c r="D15" s="83" t="s">
        <v>138</v>
      </c>
      <c r="E15" s="83"/>
      <c r="F15" s="83"/>
      <c r="G15" s="83" t="s">
        <v>3</v>
      </c>
      <c r="H15" s="83" t="s">
        <v>3</v>
      </c>
      <c r="I15" s="83" t="s">
        <v>3</v>
      </c>
      <c r="J15" s="83" t="s">
        <v>138</v>
      </c>
      <c r="K15" s="83" t="s">
        <v>138</v>
      </c>
      <c r="L15" s="83" t="s">
        <v>138</v>
      </c>
      <c r="M15" s="83" t="s">
        <v>138</v>
      </c>
      <c r="N15" s="83" t="s">
        <v>138</v>
      </c>
      <c r="O15" s="83" t="s">
        <v>138</v>
      </c>
      <c r="P15" s="83" t="s">
        <v>3</v>
      </c>
      <c r="Q15" s="83" t="s">
        <v>3</v>
      </c>
      <c r="R15" s="83" t="s">
        <v>3</v>
      </c>
      <c r="S15" s="83" t="s">
        <v>3</v>
      </c>
      <c r="T15" s="87" t="s">
        <v>3</v>
      </c>
      <c r="U15" s="83" t="s">
        <v>3</v>
      </c>
      <c r="X15" s="104"/>
    </row>
    <row r="16" spans="1:24" s="4" customFormat="1" ht="57.75" customHeight="1">
      <c r="A16" s="88"/>
      <c r="B16" s="85" t="s">
        <v>7</v>
      </c>
      <c r="C16" s="50"/>
      <c r="D16" s="105" t="s">
        <v>225</v>
      </c>
      <c r="E16" s="50"/>
      <c r="F16" s="50"/>
      <c r="G16" s="51">
        <f>G17+G42</f>
        <v>2087.1998171119021</v>
      </c>
      <c r="H16" s="51">
        <f>H17+H42</f>
        <v>2087.1998171119021</v>
      </c>
      <c r="I16" s="51"/>
      <c r="J16" s="51"/>
      <c r="K16" s="51"/>
      <c r="L16" s="51"/>
      <c r="M16" s="51"/>
      <c r="N16" s="51"/>
      <c r="O16" s="51"/>
      <c r="P16" s="51">
        <f t="shared" ref="P16:U16" si="0">P17+P42</f>
        <v>386.78164260350002</v>
      </c>
      <c r="Q16" s="51">
        <f t="shared" si="0"/>
        <v>399.76839301389407</v>
      </c>
      <c r="R16" s="51">
        <f t="shared" si="0"/>
        <v>416.17800648803416</v>
      </c>
      <c r="S16" s="51">
        <f t="shared" si="0"/>
        <v>433.30210960148042</v>
      </c>
      <c r="T16" s="51">
        <f t="shared" si="0"/>
        <v>451.16966540499379</v>
      </c>
      <c r="U16" s="51">
        <f t="shared" si="0"/>
        <v>2087.1998171119026</v>
      </c>
      <c r="X16" s="104"/>
    </row>
    <row r="17" spans="1:24" s="4" customFormat="1" ht="75" customHeight="1">
      <c r="A17" s="88">
        <v>1</v>
      </c>
      <c r="B17" s="83" t="s">
        <v>8</v>
      </c>
      <c r="C17" s="50"/>
      <c r="D17" s="101" t="str">
        <f>D18</f>
        <v>76,35 МВА
90,7 км</v>
      </c>
      <c r="E17" s="50"/>
      <c r="F17" s="50"/>
      <c r="G17" s="51">
        <f>G18+G39</f>
        <v>810.72203763966786</v>
      </c>
      <c r="H17" s="51">
        <f>H18+H39</f>
        <v>810.72203763966786</v>
      </c>
      <c r="I17" s="51"/>
      <c r="J17" s="51"/>
      <c r="K17" s="51"/>
      <c r="L17" s="51"/>
      <c r="M17" s="98"/>
      <c r="N17" s="51"/>
      <c r="O17" s="51"/>
      <c r="P17" s="51">
        <f t="shared" ref="P17:U17" si="1">P18+P39</f>
        <v>67.879854100000003</v>
      </c>
      <c r="Q17" s="51">
        <f t="shared" si="1"/>
        <v>205.26926755948</v>
      </c>
      <c r="R17" s="51">
        <f t="shared" si="1"/>
        <v>228.48208024960689</v>
      </c>
      <c r="S17" s="51">
        <f t="shared" si="1"/>
        <v>227.06311635944104</v>
      </c>
      <c r="T17" s="51">
        <f t="shared" si="1"/>
        <v>82.027719371139909</v>
      </c>
      <c r="U17" s="51">
        <f t="shared" si="1"/>
        <v>810.72203763966786</v>
      </c>
      <c r="X17" s="104"/>
    </row>
    <row r="18" spans="1:24" s="4" customFormat="1" ht="85.95" customHeight="1">
      <c r="A18" s="52" t="s">
        <v>10</v>
      </c>
      <c r="B18" s="83" t="s">
        <v>9</v>
      </c>
      <c r="C18" s="50"/>
      <c r="D18" s="102" t="s">
        <v>220</v>
      </c>
      <c r="E18" s="100"/>
      <c r="F18" s="50"/>
      <c r="G18" s="51">
        <f>SUM(G19:G25)</f>
        <v>675.72203763966786</v>
      </c>
      <c r="H18" s="51">
        <f>SUM(H19:H25)</f>
        <v>675.72203763966786</v>
      </c>
      <c r="I18" s="51"/>
      <c r="J18" s="50"/>
      <c r="K18" s="50"/>
      <c r="L18" s="50"/>
      <c r="M18" s="50"/>
      <c r="N18" s="50"/>
      <c r="O18" s="50"/>
      <c r="P18" s="51">
        <f t="shared" ref="P18:U18" si="2">SUM(P19:P26)</f>
        <v>47.879854100000003</v>
      </c>
      <c r="Q18" s="51">
        <f t="shared" si="2"/>
        <v>180.26926755948</v>
      </c>
      <c r="R18" s="51">
        <f t="shared" si="2"/>
        <v>198.48208024960689</v>
      </c>
      <c r="S18" s="51">
        <f t="shared" si="2"/>
        <v>197.06311635944104</v>
      </c>
      <c r="T18" s="51">
        <f t="shared" si="2"/>
        <v>52.027719371139902</v>
      </c>
      <c r="U18" s="51">
        <f t="shared" si="2"/>
        <v>675.72203763966786</v>
      </c>
      <c r="X18" s="104"/>
    </row>
    <row r="19" spans="1:24" s="4" customFormat="1" ht="230.4" customHeight="1">
      <c r="A19" s="52" t="s">
        <v>16</v>
      </c>
      <c r="B19" s="53" t="s">
        <v>136</v>
      </c>
      <c r="C19" s="54" t="s">
        <v>17</v>
      </c>
      <c r="D19" s="61" t="str">
        <f t="shared" ref="D19:D21" si="3">O19</f>
        <v>12,6 МВА
34 км</v>
      </c>
      <c r="E19" s="107">
        <v>2020</v>
      </c>
      <c r="F19" s="107">
        <v>2024</v>
      </c>
      <c r="G19" s="84">
        <f>U19</f>
        <v>98.155763103330571</v>
      </c>
      <c r="H19" s="84">
        <f>G19</f>
        <v>98.155763103330571</v>
      </c>
      <c r="I19" s="84"/>
      <c r="J19" s="61" t="s">
        <v>151</v>
      </c>
      <c r="K19" s="61" t="s">
        <v>151</v>
      </c>
      <c r="L19" s="61" t="s">
        <v>151</v>
      </c>
      <c r="M19" s="61" t="s">
        <v>151</v>
      </c>
      <c r="N19" s="61" t="s">
        <v>151</v>
      </c>
      <c r="O19" s="61" t="s">
        <v>166</v>
      </c>
      <c r="P19" s="82">
        <v>17.989024400000002</v>
      </c>
      <c r="Q19" s="82">
        <v>18.780541473600003</v>
      </c>
      <c r="R19" s="82">
        <v>19.606885298438403</v>
      </c>
      <c r="S19" s="60">
        <v>20.449981366271253</v>
      </c>
      <c r="T19" s="82">
        <v>21.329330565020914</v>
      </c>
      <c r="U19" s="84">
        <f>SUM(P19:T19)</f>
        <v>98.155763103330571</v>
      </c>
      <c r="X19" s="104"/>
    </row>
    <row r="20" spans="1:24" s="4" customFormat="1" ht="286.95" customHeight="1">
      <c r="A20" s="52" t="s">
        <v>19</v>
      </c>
      <c r="B20" s="53" t="s">
        <v>18</v>
      </c>
      <c r="C20" s="54" t="s">
        <v>17</v>
      </c>
      <c r="D20" s="61" t="str">
        <f t="shared" si="3"/>
        <v>4 МВА
17 км</v>
      </c>
      <c r="E20" s="107">
        <v>2020</v>
      </c>
      <c r="F20" s="107">
        <v>2024</v>
      </c>
      <c r="G20" s="84">
        <f t="shared" ref="G20:G25" si="4">U20</f>
        <v>45.000633420865789</v>
      </c>
      <c r="H20" s="84">
        <f t="shared" ref="H20:H25" si="5">G20</f>
        <v>45.000633420865789</v>
      </c>
      <c r="I20" s="84"/>
      <c r="J20" s="61" t="s">
        <v>152</v>
      </c>
      <c r="K20" s="61" t="s">
        <v>152</v>
      </c>
      <c r="L20" s="61" t="s">
        <v>152</v>
      </c>
      <c r="M20" s="61" t="s">
        <v>152</v>
      </c>
      <c r="N20" s="61" t="s">
        <v>152</v>
      </c>
      <c r="O20" s="61" t="s">
        <v>169</v>
      </c>
      <c r="P20" s="82">
        <v>8.2472742000000014</v>
      </c>
      <c r="Q20" s="82">
        <v>8.610154264800002</v>
      </c>
      <c r="R20" s="82">
        <v>8.9890010524512025</v>
      </c>
      <c r="S20" s="60">
        <v>9.3755280977066029</v>
      </c>
      <c r="T20" s="82">
        <v>9.7786758059079855</v>
      </c>
      <c r="U20" s="84">
        <f t="shared" ref="U20:U25" si="6">SUM(P20:T20)</f>
        <v>45.000633420865789</v>
      </c>
      <c r="X20" s="104"/>
    </row>
    <row r="21" spans="1:24" s="4" customFormat="1" ht="231" customHeight="1">
      <c r="A21" s="52" t="s">
        <v>21</v>
      </c>
      <c r="B21" s="53" t="s">
        <v>20</v>
      </c>
      <c r="C21" s="54" t="s">
        <v>17</v>
      </c>
      <c r="D21" s="61" t="str">
        <f t="shared" si="3"/>
        <v>3,75 МВА
10,5 км</v>
      </c>
      <c r="E21" s="107">
        <v>2020</v>
      </c>
      <c r="F21" s="107">
        <v>2024</v>
      </c>
      <c r="G21" s="84">
        <f t="shared" si="4"/>
        <v>51.270104527461484</v>
      </c>
      <c r="H21" s="84">
        <f t="shared" si="5"/>
        <v>51.270104527461484</v>
      </c>
      <c r="I21" s="107"/>
      <c r="J21" s="61" t="s">
        <v>170</v>
      </c>
      <c r="K21" s="61" t="s">
        <v>170</v>
      </c>
      <c r="L21" s="61" t="s">
        <v>170</v>
      </c>
      <c r="M21" s="61" t="s">
        <v>170</v>
      </c>
      <c r="N21" s="61" t="s">
        <v>170</v>
      </c>
      <c r="O21" s="61" t="s">
        <v>171</v>
      </c>
      <c r="P21" s="82">
        <v>9.3962813000000001</v>
      </c>
      <c r="Q21" s="82">
        <v>9.8097176772000001</v>
      </c>
      <c r="R21" s="82">
        <v>10.241345254996801</v>
      </c>
      <c r="S21" s="60">
        <v>10.681723100961664</v>
      </c>
      <c r="T21" s="82">
        <v>11.141037194303015</v>
      </c>
      <c r="U21" s="84">
        <f t="shared" si="6"/>
        <v>51.270104527461484</v>
      </c>
      <c r="X21" s="104"/>
    </row>
    <row r="22" spans="1:24" s="4" customFormat="1" ht="296.25" customHeight="1">
      <c r="A22" s="52" t="s">
        <v>22</v>
      </c>
      <c r="B22" s="63" t="s">
        <v>23</v>
      </c>
      <c r="C22" s="54" t="s">
        <v>17</v>
      </c>
      <c r="D22" s="61" t="str">
        <f t="shared" ref="D22:D25" si="7">O22</f>
        <v>4 МВА
17 км</v>
      </c>
      <c r="E22" s="107">
        <v>2020</v>
      </c>
      <c r="F22" s="107">
        <v>2024</v>
      </c>
      <c r="G22" s="84">
        <f t="shared" si="4"/>
        <v>45.000633420865789</v>
      </c>
      <c r="H22" s="84">
        <f t="shared" si="5"/>
        <v>45.000633420865789</v>
      </c>
      <c r="I22" s="61"/>
      <c r="J22" s="61" t="s">
        <v>152</v>
      </c>
      <c r="K22" s="61" t="s">
        <v>152</v>
      </c>
      <c r="L22" s="61" t="s">
        <v>152</v>
      </c>
      <c r="M22" s="61" t="s">
        <v>152</v>
      </c>
      <c r="N22" s="61" t="s">
        <v>152</v>
      </c>
      <c r="O22" s="61" t="s">
        <v>169</v>
      </c>
      <c r="P22" s="82">
        <v>8.2472742000000014</v>
      </c>
      <c r="Q22" s="82">
        <v>8.610154264800002</v>
      </c>
      <c r="R22" s="82">
        <v>8.9890010524512025</v>
      </c>
      <c r="S22" s="60">
        <v>9.3755280977066029</v>
      </c>
      <c r="T22" s="82">
        <v>9.7786758059079855</v>
      </c>
      <c r="U22" s="84">
        <f t="shared" si="6"/>
        <v>45.000633420865789</v>
      </c>
      <c r="V22" s="45"/>
      <c r="W22" s="44"/>
      <c r="X22" s="104"/>
    </row>
    <row r="23" spans="1:24" s="4" customFormat="1" ht="268.2" customHeight="1">
      <c r="A23" s="52" t="s">
        <v>25</v>
      </c>
      <c r="B23" s="53" t="s">
        <v>24</v>
      </c>
      <c r="C23" s="54" t="s">
        <v>17</v>
      </c>
      <c r="D23" s="61" t="str">
        <f>O23</f>
        <v>КЛ-10кВ
1,4 км
РП-10кВ
7 ячеек с ВВ</v>
      </c>
      <c r="E23" s="54">
        <v>2021</v>
      </c>
      <c r="F23" s="61">
        <v>2022</v>
      </c>
      <c r="G23" s="84">
        <f t="shared" si="4"/>
        <v>25.882745951088005</v>
      </c>
      <c r="H23" s="84">
        <f t="shared" si="5"/>
        <v>25.882745951088005</v>
      </c>
      <c r="I23" s="62"/>
      <c r="J23" s="61"/>
      <c r="K23" s="61"/>
      <c r="L23" s="61" t="s">
        <v>215</v>
      </c>
      <c r="M23" s="95"/>
      <c r="N23" s="61"/>
      <c r="O23" s="61" t="str">
        <f>L23</f>
        <v>КЛ-10кВ
1,4 км
РП-10кВ
7 ячеек с ВВ</v>
      </c>
      <c r="P23" s="82"/>
      <c r="Q23" s="82">
        <v>12.416904932400001</v>
      </c>
      <c r="R23" s="82">
        <v>13.465841018688003</v>
      </c>
      <c r="S23" s="60"/>
      <c r="T23" s="82"/>
      <c r="U23" s="84">
        <f t="shared" si="6"/>
        <v>25.882745951088005</v>
      </c>
      <c r="X23" s="104"/>
    </row>
    <row r="24" spans="1:24" s="4" customFormat="1" ht="84" customHeight="1">
      <c r="A24" s="58" t="s">
        <v>26</v>
      </c>
      <c r="B24" s="57" t="s">
        <v>216</v>
      </c>
      <c r="C24" s="54" t="s">
        <v>17</v>
      </c>
      <c r="D24" s="61" t="str">
        <f>O24</f>
        <v>32 МВА
2-х цепная ВЛ 10,8 км</v>
      </c>
      <c r="E24" s="61">
        <v>2019</v>
      </c>
      <c r="F24" s="54">
        <v>2023</v>
      </c>
      <c r="G24" s="84">
        <f t="shared" ref="G24" si="8">U24</f>
        <v>269.41091716507196</v>
      </c>
      <c r="H24" s="84">
        <f t="shared" ref="H24" si="9">G24</f>
        <v>269.41091716507196</v>
      </c>
      <c r="I24" s="62"/>
      <c r="J24" s="61" t="s">
        <v>228</v>
      </c>
      <c r="K24" s="61"/>
      <c r="L24" s="64"/>
      <c r="M24" s="61" t="s">
        <v>221</v>
      </c>
      <c r="N24" s="61"/>
      <c r="O24" s="61" t="str">
        <f>M24</f>
        <v>32 МВА
2-х цепная ВЛ 10,8 км</v>
      </c>
      <c r="P24" s="82">
        <f>1+1</f>
        <v>2</v>
      </c>
      <c r="Q24" s="82">
        <f>48.985399296+40.01071271868</f>
        <v>88.996112014679994</v>
      </c>
      <c r="R24" s="82">
        <f>36.6766519529792+79.3047118008341</f>
        <v>115.9813637538133</v>
      </c>
      <c r="S24" s="82">
        <v>62.433441396578679</v>
      </c>
      <c r="T24" s="82"/>
      <c r="U24" s="84">
        <f>SUM(P24:T24)</f>
        <v>269.41091716507196</v>
      </c>
      <c r="X24" s="104"/>
    </row>
    <row r="25" spans="1:24" s="4" customFormat="1" ht="87" customHeight="1">
      <c r="A25" s="58" t="s">
        <v>145</v>
      </c>
      <c r="B25" s="57" t="s">
        <v>147</v>
      </c>
      <c r="C25" s="54" t="s">
        <v>17</v>
      </c>
      <c r="D25" s="61" t="str">
        <f t="shared" si="7"/>
        <v>20 МВА</v>
      </c>
      <c r="E25" s="61">
        <v>2019</v>
      </c>
      <c r="F25" s="54">
        <v>2023</v>
      </c>
      <c r="G25" s="84">
        <f t="shared" si="4"/>
        <v>141.00124005098425</v>
      </c>
      <c r="H25" s="84">
        <f t="shared" si="5"/>
        <v>141.00124005098425</v>
      </c>
      <c r="I25" s="62"/>
      <c r="J25" s="61" t="s">
        <v>228</v>
      </c>
      <c r="K25" s="64"/>
      <c r="L25" s="61"/>
      <c r="M25" s="61" t="s">
        <v>146</v>
      </c>
      <c r="N25" s="61"/>
      <c r="O25" s="61" t="s">
        <v>146</v>
      </c>
      <c r="P25" s="82">
        <v>2</v>
      </c>
      <c r="Q25" s="82">
        <v>33.045682932000005</v>
      </c>
      <c r="R25" s="82">
        <v>21.208642818768006</v>
      </c>
      <c r="S25" s="82">
        <v>84.746914300216247</v>
      </c>
      <c r="T25" s="82"/>
      <c r="U25" s="84">
        <f t="shared" si="6"/>
        <v>141.00124005098425</v>
      </c>
      <c r="X25" s="104"/>
    </row>
    <row r="26" spans="1:24" s="4" customFormat="1">
      <c r="A26" s="52" t="s">
        <v>27</v>
      </c>
      <c r="B26" s="53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2"/>
      <c r="Q26" s="62"/>
      <c r="R26" s="62"/>
      <c r="S26" s="62"/>
      <c r="T26" s="60"/>
      <c r="U26" s="62"/>
      <c r="X26" s="104"/>
    </row>
    <row r="27" spans="1:24" s="4" customFormat="1" ht="77.25" customHeight="1">
      <c r="A27" s="65" t="s">
        <v>29</v>
      </c>
      <c r="B27" s="66" t="s">
        <v>28</v>
      </c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2"/>
      <c r="Q27" s="62"/>
      <c r="R27" s="62"/>
      <c r="S27" s="62"/>
      <c r="T27" s="60"/>
      <c r="U27" s="62"/>
      <c r="X27" s="104"/>
    </row>
    <row r="28" spans="1:24" s="4" customFormat="1">
      <c r="A28" s="52" t="s">
        <v>32</v>
      </c>
      <c r="B28" s="53" t="s">
        <v>30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2"/>
      <c r="Q28" s="62"/>
      <c r="R28" s="62"/>
      <c r="S28" s="62"/>
      <c r="T28" s="60"/>
      <c r="U28" s="62"/>
      <c r="X28" s="104"/>
    </row>
    <row r="29" spans="1:24" s="4" customFormat="1">
      <c r="A29" s="52" t="s">
        <v>33</v>
      </c>
      <c r="B29" s="53" t="s">
        <v>31</v>
      </c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2"/>
      <c r="Q29" s="62"/>
      <c r="R29" s="62"/>
      <c r="S29" s="62"/>
      <c r="T29" s="60"/>
      <c r="U29" s="62"/>
      <c r="X29" s="104"/>
    </row>
    <row r="30" spans="1:24" s="4" customFormat="1">
      <c r="A30" s="52" t="s">
        <v>27</v>
      </c>
      <c r="B30" s="53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2"/>
      <c r="Q30" s="62"/>
      <c r="R30" s="62"/>
      <c r="S30" s="62"/>
      <c r="T30" s="60"/>
      <c r="U30" s="62"/>
      <c r="X30" s="104"/>
    </row>
    <row r="31" spans="1:24" s="4" customFormat="1" ht="34.799999999999997">
      <c r="A31" s="65" t="s">
        <v>35</v>
      </c>
      <c r="B31" s="66" t="s">
        <v>34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2"/>
      <c r="Q31" s="62"/>
      <c r="R31" s="62"/>
      <c r="S31" s="62"/>
      <c r="T31" s="60"/>
      <c r="U31" s="62"/>
      <c r="X31" s="104"/>
    </row>
    <row r="32" spans="1:24" s="4" customFormat="1">
      <c r="A32" s="52" t="s">
        <v>32</v>
      </c>
      <c r="B32" s="53" t="s">
        <v>30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2"/>
      <c r="Q32" s="62"/>
      <c r="R32" s="62"/>
      <c r="S32" s="62"/>
      <c r="T32" s="60"/>
      <c r="U32" s="62"/>
      <c r="X32" s="104"/>
    </row>
    <row r="33" spans="1:26" s="4" customFormat="1">
      <c r="A33" s="52" t="s">
        <v>33</v>
      </c>
      <c r="B33" s="53" t="s">
        <v>31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2"/>
      <c r="Q33" s="62"/>
      <c r="R33" s="62"/>
      <c r="S33" s="62"/>
      <c r="T33" s="60"/>
      <c r="U33" s="62"/>
      <c r="X33" s="104"/>
    </row>
    <row r="34" spans="1:26" s="4" customFormat="1">
      <c r="A34" s="52" t="s">
        <v>27</v>
      </c>
      <c r="B34" s="53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2"/>
      <c r="Q34" s="62"/>
      <c r="R34" s="62"/>
      <c r="S34" s="62"/>
      <c r="T34" s="60"/>
      <c r="U34" s="62"/>
      <c r="X34" s="104"/>
    </row>
    <row r="35" spans="1:26" s="4" customFormat="1" ht="87">
      <c r="A35" s="65" t="s">
        <v>37</v>
      </c>
      <c r="B35" s="66" t="s">
        <v>36</v>
      </c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2"/>
      <c r="Q35" s="62"/>
      <c r="R35" s="62"/>
      <c r="S35" s="62"/>
      <c r="T35" s="60"/>
      <c r="U35" s="62"/>
      <c r="X35" s="104"/>
    </row>
    <row r="36" spans="1:26" s="4" customFormat="1">
      <c r="A36" s="52" t="s">
        <v>32</v>
      </c>
      <c r="B36" s="53" t="s">
        <v>30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2"/>
      <c r="Q36" s="62"/>
      <c r="R36" s="62"/>
      <c r="S36" s="62"/>
      <c r="T36" s="60"/>
      <c r="U36" s="62"/>
      <c r="X36" s="104"/>
    </row>
    <row r="37" spans="1:26" s="4" customFormat="1">
      <c r="A37" s="52" t="s">
        <v>33</v>
      </c>
      <c r="B37" s="53" t="s">
        <v>31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2"/>
      <c r="Q37" s="62"/>
      <c r="R37" s="62"/>
      <c r="S37" s="62"/>
      <c r="T37" s="60"/>
      <c r="U37" s="62"/>
      <c r="X37" s="104"/>
    </row>
    <row r="38" spans="1:26" s="4" customFormat="1">
      <c r="A38" s="52" t="s">
        <v>27</v>
      </c>
      <c r="B38" s="53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2"/>
      <c r="Q38" s="62"/>
      <c r="R38" s="62"/>
      <c r="S38" s="62"/>
      <c r="T38" s="60"/>
      <c r="U38" s="62"/>
      <c r="X38" s="104"/>
    </row>
    <row r="39" spans="1:26" s="4" customFormat="1">
      <c r="A39" s="65" t="s">
        <v>38</v>
      </c>
      <c r="B39" s="66" t="s">
        <v>39</v>
      </c>
      <c r="C39" s="61"/>
      <c r="D39" s="61"/>
      <c r="E39" s="61"/>
      <c r="F39" s="61"/>
      <c r="G39" s="67">
        <f>G40</f>
        <v>135</v>
      </c>
      <c r="H39" s="67">
        <f>H40</f>
        <v>135</v>
      </c>
      <c r="I39" s="67"/>
      <c r="J39" s="62"/>
      <c r="K39" s="62"/>
      <c r="L39" s="62"/>
      <c r="M39" s="62"/>
      <c r="N39" s="62"/>
      <c r="O39" s="62"/>
      <c r="P39" s="67">
        <f>P40</f>
        <v>20</v>
      </c>
      <c r="Q39" s="67">
        <f t="shared" ref="Q39:T39" si="10">Q40</f>
        <v>25</v>
      </c>
      <c r="R39" s="67">
        <f t="shared" si="10"/>
        <v>30</v>
      </c>
      <c r="S39" s="67">
        <f t="shared" si="10"/>
        <v>30</v>
      </c>
      <c r="T39" s="67">
        <f t="shared" si="10"/>
        <v>30</v>
      </c>
      <c r="U39" s="67">
        <f>SUM(P39:T39)</f>
        <v>135</v>
      </c>
      <c r="X39" s="104"/>
    </row>
    <row r="40" spans="1:26" s="4" customFormat="1" ht="45" customHeight="1">
      <c r="A40" s="52" t="s">
        <v>41</v>
      </c>
      <c r="B40" s="53" t="s">
        <v>40</v>
      </c>
      <c r="C40" s="61"/>
      <c r="D40" s="61"/>
      <c r="E40" s="61">
        <v>2020</v>
      </c>
      <c r="F40" s="61">
        <v>2024</v>
      </c>
      <c r="G40" s="62">
        <f>U40</f>
        <v>135</v>
      </c>
      <c r="H40" s="62">
        <f>G40</f>
        <v>135</v>
      </c>
      <c r="I40" s="62"/>
      <c r="J40" s="62"/>
      <c r="K40" s="62"/>
      <c r="L40" s="62"/>
      <c r="M40" s="62"/>
      <c r="N40" s="62"/>
      <c r="O40" s="62"/>
      <c r="P40" s="56">
        <v>20</v>
      </c>
      <c r="Q40" s="56">
        <v>25</v>
      </c>
      <c r="R40" s="56">
        <v>30</v>
      </c>
      <c r="S40" s="56">
        <v>30</v>
      </c>
      <c r="T40" s="56">
        <v>30</v>
      </c>
      <c r="U40" s="67">
        <f>SUM(P40:T40)</f>
        <v>135</v>
      </c>
      <c r="X40" s="104"/>
    </row>
    <row r="41" spans="1:26" s="4" customFormat="1">
      <c r="A41" s="52" t="s">
        <v>27</v>
      </c>
      <c r="B41" s="53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2"/>
      <c r="Q41" s="62"/>
      <c r="R41" s="62"/>
      <c r="S41" s="62"/>
      <c r="T41" s="60"/>
      <c r="U41" s="62"/>
      <c r="X41" s="104"/>
    </row>
    <row r="42" spans="1:26" s="4" customFormat="1" ht="57.6" customHeight="1">
      <c r="A42" s="65" t="s">
        <v>33</v>
      </c>
      <c r="B42" s="66" t="s">
        <v>42</v>
      </c>
      <c r="C42" s="61"/>
      <c r="D42" s="106" t="str">
        <f>D43</f>
        <v>93,39 МВА
168,8 км</v>
      </c>
      <c r="E42" s="106"/>
      <c r="F42" s="106"/>
      <c r="G42" s="67">
        <f>G43</f>
        <v>1276.4777794722345</v>
      </c>
      <c r="H42" s="67">
        <f>H43</f>
        <v>1276.4777794722345</v>
      </c>
      <c r="I42" s="67"/>
      <c r="J42" s="67"/>
      <c r="K42" s="67"/>
      <c r="L42" s="67"/>
      <c r="M42" s="67"/>
      <c r="N42" s="67"/>
      <c r="O42" s="67"/>
      <c r="P42" s="67">
        <f>P43</f>
        <v>318.90178850350003</v>
      </c>
      <c r="Q42" s="67">
        <f t="shared" ref="Q42:T42" si="11">Q43</f>
        <v>194.49912545441404</v>
      </c>
      <c r="R42" s="67">
        <f t="shared" si="11"/>
        <v>187.69592623842726</v>
      </c>
      <c r="S42" s="67">
        <f t="shared" si="11"/>
        <v>206.23899324203936</v>
      </c>
      <c r="T42" s="67">
        <f t="shared" si="11"/>
        <v>369.14194603385391</v>
      </c>
      <c r="U42" s="67">
        <f>U43</f>
        <v>1276.4777794722347</v>
      </c>
      <c r="X42" s="104"/>
    </row>
    <row r="43" spans="1:26" s="4" customFormat="1" ht="96" customHeight="1">
      <c r="A43" s="65" t="s">
        <v>43</v>
      </c>
      <c r="B43" s="66" t="s">
        <v>9</v>
      </c>
      <c r="C43" s="61"/>
      <c r="D43" s="106" t="s">
        <v>224</v>
      </c>
      <c r="E43" s="61"/>
      <c r="F43" s="61"/>
      <c r="G43" s="67">
        <f>SUM(G44:G60)</f>
        <v>1276.4777794722345</v>
      </c>
      <c r="H43" s="67">
        <f>SUM(H44:H60)</f>
        <v>1276.4777794722345</v>
      </c>
      <c r="I43" s="62"/>
      <c r="J43" s="62"/>
      <c r="K43" s="62"/>
      <c r="L43" s="62"/>
      <c r="M43" s="62"/>
      <c r="N43" s="62"/>
      <c r="O43" s="62"/>
      <c r="P43" s="67">
        <f>SUM(P44:P60)</f>
        <v>318.90178850350003</v>
      </c>
      <c r="Q43" s="67">
        <f t="shared" ref="Q43:T43" si="12">SUM(Q44:Q60)</f>
        <v>194.49912545441404</v>
      </c>
      <c r="R43" s="67">
        <f t="shared" si="12"/>
        <v>187.69592623842726</v>
      </c>
      <c r="S43" s="67">
        <f t="shared" si="12"/>
        <v>206.23899324203936</v>
      </c>
      <c r="T43" s="67">
        <f t="shared" si="12"/>
        <v>369.14194603385391</v>
      </c>
      <c r="U43" s="67">
        <f>SUM(P43:T43)</f>
        <v>1276.4777794722347</v>
      </c>
      <c r="X43" s="104"/>
    </row>
    <row r="44" spans="1:26" s="4" customFormat="1" ht="112.5" customHeight="1">
      <c r="A44" s="52" t="s">
        <v>44</v>
      </c>
      <c r="B44" s="53" t="s">
        <v>153</v>
      </c>
      <c r="C44" s="54" t="s">
        <v>17</v>
      </c>
      <c r="D44" s="61"/>
      <c r="E44" s="61">
        <v>2020</v>
      </c>
      <c r="F44" s="61">
        <v>2024</v>
      </c>
      <c r="G44" s="62">
        <f>U44</f>
        <v>54.564250356640002</v>
      </c>
      <c r="H44" s="62">
        <f>G44</f>
        <v>54.564250356640002</v>
      </c>
      <c r="I44" s="62"/>
      <c r="J44" s="61"/>
      <c r="K44" s="61"/>
      <c r="L44" s="61"/>
      <c r="M44" s="61"/>
      <c r="N44" s="61"/>
      <c r="O44" s="61"/>
      <c r="P44" s="56">
        <v>10</v>
      </c>
      <c r="Q44" s="56">
        <v>10.440000000000001</v>
      </c>
      <c r="R44" s="56">
        <v>10.899360000000001</v>
      </c>
      <c r="S44" s="56">
        <v>11.36803248</v>
      </c>
      <c r="T44" s="56">
        <v>11.856857876639999</v>
      </c>
      <c r="U44" s="62">
        <f>SUM(P44:T44)</f>
        <v>54.564250356640002</v>
      </c>
      <c r="X44" s="104"/>
    </row>
    <row r="45" spans="1:26" s="4" customFormat="1" ht="99.75" customHeight="1">
      <c r="A45" s="52" t="s">
        <v>46</v>
      </c>
      <c r="B45" s="53" t="s">
        <v>45</v>
      </c>
      <c r="C45" s="54" t="s">
        <v>17</v>
      </c>
      <c r="D45" s="61" t="s">
        <v>222</v>
      </c>
      <c r="E45" s="54">
        <v>2015</v>
      </c>
      <c r="F45" s="61">
        <v>2020</v>
      </c>
      <c r="G45" s="62">
        <f t="shared" ref="G45:G56" si="13">U45</f>
        <v>134.5005745</v>
      </c>
      <c r="H45" s="62">
        <f>G45</f>
        <v>134.5005745</v>
      </c>
      <c r="I45" s="60"/>
      <c r="J45" s="61" t="s">
        <v>222</v>
      </c>
      <c r="K45" s="61"/>
      <c r="L45" s="61"/>
      <c r="M45" s="61"/>
      <c r="N45" s="61"/>
      <c r="O45" s="61" t="s">
        <v>222</v>
      </c>
      <c r="P45" s="60">
        <f>124.04837+10.4522045</f>
        <v>134.5005745</v>
      </c>
      <c r="Q45" s="60"/>
      <c r="R45" s="60"/>
      <c r="S45" s="60"/>
      <c r="T45" s="60"/>
      <c r="U45" s="62">
        <f t="shared" ref="U45:U51" si="14">SUM(P45:T45)</f>
        <v>134.5005745</v>
      </c>
      <c r="X45" s="104"/>
      <c r="Z45" s="104"/>
    </row>
    <row r="46" spans="1:26" s="4" customFormat="1" ht="135" customHeight="1">
      <c r="A46" s="52" t="s">
        <v>154</v>
      </c>
      <c r="B46" s="57" t="s">
        <v>51</v>
      </c>
      <c r="C46" s="54" t="s">
        <v>17</v>
      </c>
      <c r="D46" s="61" t="str">
        <f>O46</f>
        <v xml:space="preserve">4,2 км </v>
      </c>
      <c r="E46" s="54">
        <v>2020</v>
      </c>
      <c r="F46" s="61">
        <v>2021</v>
      </c>
      <c r="G46" s="62">
        <f>U46</f>
        <v>21.970736835024002</v>
      </c>
      <c r="H46" s="62">
        <f t="shared" ref="H46:H56" si="15">G46</f>
        <v>21.970736835024002</v>
      </c>
      <c r="I46" s="62"/>
      <c r="J46" s="61" t="s">
        <v>179</v>
      </c>
      <c r="K46" s="61" t="s">
        <v>79</v>
      </c>
      <c r="L46" s="61"/>
      <c r="M46" s="61"/>
      <c r="N46" s="61"/>
      <c r="O46" s="61" t="s">
        <v>223</v>
      </c>
      <c r="P46" s="60">
        <v>14.365922106000003</v>
      </c>
      <c r="Q46" s="56">
        <v>7.6048147290240005</v>
      </c>
      <c r="R46" s="60"/>
      <c r="S46" s="60"/>
      <c r="T46" s="60"/>
      <c r="U46" s="62">
        <f t="shared" si="14"/>
        <v>21.970736835024002</v>
      </c>
      <c r="X46" s="104"/>
      <c r="Z46" s="104"/>
    </row>
    <row r="47" spans="1:26" s="4" customFormat="1" ht="157.19999999999999" customHeight="1">
      <c r="A47" s="52" t="s">
        <v>47</v>
      </c>
      <c r="B47" s="57" t="s">
        <v>150</v>
      </c>
      <c r="C47" s="61" t="s">
        <v>17</v>
      </c>
      <c r="D47" s="61" t="s">
        <v>226</v>
      </c>
      <c r="E47" s="61">
        <v>2023</v>
      </c>
      <c r="F47" s="61">
        <v>2025</v>
      </c>
      <c r="G47" s="62">
        <f>U47</f>
        <v>143.5964501454379</v>
      </c>
      <c r="H47" s="62">
        <f>G47</f>
        <v>143.5964501454379</v>
      </c>
      <c r="I47" s="62"/>
      <c r="J47" s="61"/>
      <c r="K47" s="61"/>
      <c r="L47" s="61"/>
      <c r="M47" s="61" t="s">
        <v>229</v>
      </c>
      <c r="N47" s="61" t="s">
        <v>230</v>
      </c>
      <c r="O47" s="61"/>
      <c r="P47" s="82"/>
      <c r="Q47" s="82"/>
      <c r="R47" s="82"/>
      <c r="S47" s="82">
        <v>2.2999999999999998</v>
      </c>
      <c r="T47" s="82">
        <v>141.29645014543789</v>
      </c>
      <c r="U47" s="62">
        <f>SUM(P47:T47)</f>
        <v>143.5964501454379</v>
      </c>
      <c r="V47" s="10"/>
      <c r="X47" s="104"/>
      <c r="Z47" s="104"/>
    </row>
    <row r="48" spans="1:26" s="4" customFormat="1" ht="99.6" customHeight="1">
      <c r="A48" s="52" t="s">
        <v>48</v>
      </c>
      <c r="B48" s="53" t="s">
        <v>52</v>
      </c>
      <c r="C48" s="54" t="s">
        <v>17</v>
      </c>
      <c r="D48" s="61" t="str">
        <f>O48</f>
        <v>2 МВА
19,5 км</v>
      </c>
      <c r="E48" s="61">
        <v>2020</v>
      </c>
      <c r="F48" s="61">
        <v>2024</v>
      </c>
      <c r="G48" s="62">
        <f t="shared" si="13"/>
        <v>93.06658962937</v>
      </c>
      <c r="H48" s="62">
        <f t="shared" si="15"/>
        <v>93.06658962937</v>
      </c>
      <c r="I48" s="61"/>
      <c r="J48" s="61" t="s">
        <v>173</v>
      </c>
      <c r="K48" s="61" t="s">
        <v>174</v>
      </c>
      <c r="L48" s="61" t="s">
        <v>175</v>
      </c>
      <c r="M48" s="61" t="s">
        <v>176</v>
      </c>
      <c r="N48" s="60" t="s">
        <v>177</v>
      </c>
      <c r="O48" s="61" t="s">
        <v>193</v>
      </c>
      <c r="P48" s="60">
        <v>13.2268416</v>
      </c>
      <c r="Q48" s="60">
        <v>25.608296806920002</v>
      </c>
      <c r="R48" s="60">
        <v>21.798720000000003</v>
      </c>
      <c r="S48" s="60">
        <v>21.336759336427356</v>
      </c>
      <c r="T48" s="60">
        <v>11.095971886022639</v>
      </c>
      <c r="U48" s="62">
        <f t="shared" si="14"/>
        <v>93.06658962937</v>
      </c>
      <c r="X48" s="104"/>
      <c r="Z48" s="104"/>
    </row>
    <row r="49" spans="1:26" s="4" customFormat="1" ht="90.6" customHeight="1">
      <c r="A49" s="52" t="s">
        <v>49</v>
      </c>
      <c r="B49" s="53" t="s">
        <v>155</v>
      </c>
      <c r="C49" s="54" t="s">
        <v>17</v>
      </c>
      <c r="D49" s="61" t="str">
        <f t="shared" ref="D49:D56" si="16">O49</f>
        <v>2 МВА
5,5 км</v>
      </c>
      <c r="E49" s="61">
        <v>2020</v>
      </c>
      <c r="F49" s="61">
        <v>2024</v>
      </c>
      <c r="G49" s="62">
        <f>U49</f>
        <v>22.398458350437139</v>
      </c>
      <c r="H49" s="62">
        <f>G49</f>
        <v>22.398458350437139</v>
      </c>
      <c r="I49" s="64"/>
      <c r="J49" s="61" t="s">
        <v>156</v>
      </c>
      <c r="K49" s="61" t="s">
        <v>156</v>
      </c>
      <c r="L49" s="61" t="s">
        <v>156</v>
      </c>
      <c r="M49" s="61" t="s">
        <v>156</v>
      </c>
      <c r="N49" s="61" t="s">
        <v>156</v>
      </c>
      <c r="O49" s="61" t="s">
        <v>181</v>
      </c>
      <c r="P49" s="82">
        <v>4.104969500000001</v>
      </c>
      <c r="Q49" s="82">
        <v>4.2855881580000013</v>
      </c>
      <c r="R49" s="82">
        <v>4.4741540369520019</v>
      </c>
      <c r="S49" s="60">
        <v>4.6665426605409372</v>
      </c>
      <c r="T49" s="82">
        <v>4.8672039949441972</v>
      </c>
      <c r="U49" s="62">
        <f>SUM(P49:T49)</f>
        <v>22.398458350437139</v>
      </c>
      <c r="V49" s="10"/>
      <c r="X49" s="104"/>
      <c r="Z49" s="104"/>
    </row>
    <row r="50" spans="1:26" s="4" customFormat="1" ht="102.6" customHeight="1">
      <c r="A50" s="52" t="s">
        <v>50</v>
      </c>
      <c r="B50" s="53" t="s">
        <v>54</v>
      </c>
      <c r="C50" s="54" t="s">
        <v>17</v>
      </c>
      <c r="D50" s="61" t="str">
        <f t="shared" si="16"/>
        <v>6,3 МВА
17 км</v>
      </c>
      <c r="E50" s="61">
        <v>2020</v>
      </c>
      <c r="F50" s="61">
        <v>2024</v>
      </c>
      <c r="G50" s="62">
        <f t="shared" si="13"/>
        <v>49.077881551665286</v>
      </c>
      <c r="H50" s="62">
        <f t="shared" si="15"/>
        <v>49.077881551665286</v>
      </c>
      <c r="I50" s="61"/>
      <c r="J50" s="61" t="s">
        <v>157</v>
      </c>
      <c r="K50" s="61" t="s">
        <v>157</v>
      </c>
      <c r="L50" s="61" t="s">
        <v>157</v>
      </c>
      <c r="M50" s="61" t="s">
        <v>157</v>
      </c>
      <c r="N50" s="61" t="s">
        <v>157</v>
      </c>
      <c r="O50" s="61" t="s">
        <v>168</v>
      </c>
      <c r="P50" s="82">
        <v>8.9945122000000008</v>
      </c>
      <c r="Q50" s="82">
        <v>9.3902707368000016</v>
      </c>
      <c r="R50" s="82">
        <v>9.8034426492192015</v>
      </c>
      <c r="S50" s="60">
        <v>10.224990683135626</v>
      </c>
      <c r="T50" s="82">
        <v>10.664665282510457</v>
      </c>
      <c r="U50" s="62">
        <f t="shared" si="14"/>
        <v>49.077881551665286</v>
      </c>
      <c r="X50" s="104"/>
      <c r="Z50" s="104"/>
    </row>
    <row r="51" spans="1:26" s="4" customFormat="1" ht="93" customHeight="1">
      <c r="A51" s="52" t="s">
        <v>53</v>
      </c>
      <c r="B51" s="53" t="s">
        <v>137</v>
      </c>
      <c r="C51" s="54" t="s">
        <v>17</v>
      </c>
      <c r="D51" s="61" t="str">
        <f t="shared" si="16"/>
        <v>4 МВА
17 км</v>
      </c>
      <c r="E51" s="61">
        <v>2020</v>
      </c>
      <c r="F51" s="61">
        <v>2024</v>
      </c>
      <c r="G51" s="62">
        <f t="shared" si="13"/>
        <v>45.000633420865789</v>
      </c>
      <c r="H51" s="62">
        <f t="shared" si="15"/>
        <v>45.000633420865789</v>
      </c>
      <c r="I51" s="61"/>
      <c r="J51" s="61" t="s">
        <v>152</v>
      </c>
      <c r="K51" s="61" t="s">
        <v>152</v>
      </c>
      <c r="L51" s="61" t="s">
        <v>152</v>
      </c>
      <c r="M51" s="61" t="s">
        <v>152</v>
      </c>
      <c r="N51" s="61" t="s">
        <v>152</v>
      </c>
      <c r="O51" s="61" t="s">
        <v>169</v>
      </c>
      <c r="P51" s="82">
        <v>8.2472742000000014</v>
      </c>
      <c r="Q51" s="82">
        <v>8.610154264800002</v>
      </c>
      <c r="R51" s="82">
        <v>8.9890010524512025</v>
      </c>
      <c r="S51" s="60">
        <v>9.3755280977066029</v>
      </c>
      <c r="T51" s="82">
        <v>9.7786758059079855</v>
      </c>
      <c r="U51" s="62">
        <f t="shared" si="14"/>
        <v>45.000633420865789</v>
      </c>
      <c r="V51" s="10"/>
      <c r="X51" s="104"/>
      <c r="Z51" s="104"/>
    </row>
    <row r="52" spans="1:26" s="4" customFormat="1" ht="75" customHeight="1">
      <c r="A52" s="52" t="s">
        <v>57</v>
      </c>
      <c r="B52" s="53" t="s">
        <v>55</v>
      </c>
      <c r="C52" s="54" t="s">
        <v>17</v>
      </c>
      <c r="D52" s="61" t="str">
        <f t="shared" si="16"/>
        <v>4 МВА
17 км</v>
      </c>
      <c r="E52" s="61">
        <v>2020</v>
      </c>
      <c r="F52" s="61">
        <v>2024</v>
      </c>
      <c r="G52" s="62">
        <f>U52</f>
        <v>45.000633420865789</v>
      </c>
      <c r="H52" s="62">
        <f>G52</f>
        <v>45.000633420865789</v>
      </c>
      <c r="I52" s="107"/>
      <c r="J52" s="61" t="s">
        <v>152</v>
      </c>
      <c r="K52" s="61" t="s">
        <v>152</v>
      </c>
      <c r="L52" s="61" t="s">
        <v>152</v>
      </c>
      <c r="M52" s="61" t="s">
        <v>152</v>
      </c>
      <c r="N52" s="61" t="s">
        <v>152</v>
      </c>
      <c r="O52" s="61" t="s">
        <v>169</v>
      </c>
      <c r="P52" s="82">
        <v>8.2472742000000014</v>
      </c>
      <c r="Q52" s="82">
        <v>8.610154264800002</v>
      </c>
      <c r="R52" s="82">
        <v>8.9890010524512025</v>
      </c>
      <c r="S52" s="60">
        <v>9.3755280977066029</v>
      </c>
      <c r="T52" s="82">
        <v>9.7786758059079855</v>
      </c>
      <c r="U52" s="62">
        <f>SUM(P52:T52)</f>
        <v>45.000633420865789</v>
      </c>
      <c r="V52" s="10"/>
      <c r="X52" s="104"/>
      <c r="Z52" s="104"/>
    </row>
    <row r="53" spans="1:26" s="4" customFormat="1" ht="75" customHeight="1">
      <c r="A53" s="52" t="s">
        <v>58</v>
      </c>
      <c r="B53" s="53" t="s">
        <v>56</v>
      </c>
      <c r="C53" s="54" t="s">
        <v>17</v>
      </c>
      <c r="D53" s="61" t="str">
        <f t="shared" si="16"/>
        <v>2 МВА
12,5 км</v>
      </c>
      <c r="E53" s="61">
        <v>2020</v>
      </c>
      <c r="F53" s="61">
        <v>2024</v>
      </c>
      <c r="G53" s="62">
        <f t="shared" si="13"/>
        <v>33.856950925331539</v>
      </c>
      <c r="H53" s="62">
        <f t="shared" si="15"/>
        <v>33.856950925331539</v>
      </c>
      <c r="I53" s="68"/>
      <c r="J53" s="61" t="s">
        <v>158</v>
      </c>
      <c r="K53" s="61" t="s">
        <v>158</v>
      </c>
      <c r="L53" s="61" t="s">
        <v>158</v>
      </c>
      <c r="M53" s="61" t="s">
        <v>158</v>
      </c>
      <c r="N53" s="61" t="s">
        <v>158</v>
      </c>
      <c r="O53" s="61" t="s">
        <v>172</v>
      </c>
      <c r="P53" s="82">
        <v>6.2049695000000007</v>
      </c>
      <c r="Q53" s="82">
        <v>6.4779881580000014</v>
      </c>
      <c r="R53" s="82">
        <v>6.7630196369520013</v>
      </c>
      <c r="S53" s="60">
        <v>7.0538294813409372</v>
      </c>
      <c r="T53" s="82">
        <v>7.3571441490385974</v>
      </c>
      <c r="U53" s="62">
        <f t="shared" ref="U53:U54" si="17">SUM(P53:T53)</f>
        <v>33.856950925331539</v>
      </c>
      <c r="V53" s="10"/>
      <c r="X53" s="104"/>
      <c r="Z53" s="104"/>
    </row>
    <row r="54" spans="1:26" s="4" customFormat="1" ht="73.95" customHeight="1">
      <c r="A54" s="52" t="s">
        <v>60</v>
      </c>
      <c r="B54" s="53" t="s">
        <v>59</v>
      </c>
      <c r="C54" s="54" t="s">
        <v>17</v>
      </c>
      <c r="D54" s="61" t="str">
        <f t="shared" si="16"/>
        <v>6,3 МВА
11 км</v>
      </c>
      <c r="E54" s="61">
        <v>2020</v>
      </c>
      <c r="F54" s="61">
        <v>2024</v>
      </c>
      <c r="G54" s="62">
        <f t="shared" si="13"/>
        <v>59.079170398249445</v>
      </c>
      <c r="H54" s="62">
        <f t="shared" si="15"/>
        <v>59.079170398249445</v>
      </c>
      <c r="I54" s="61"/>
      <c r="J54" s="61" t="s">
        <v>159</v>
      </c>
      <c r="K54" s="61" t="s">
        <v>159</v>
      </c>
      <c r="L54" s="61" t="s">
        <v>159</v>
      </c>
      <c r="M54" s="61" t="s">
        <v>159</v>
      </c>
      <c r="N54" s="61" t="s">
        <v>159</v>
      </c>
      <c r="O54" s="61" t="s">
        <v>167</v>
      </c>
      <c r="P54" s="82">
        <v>10.827450210000002</v>
      </c>
      <c r="Q54" s="82">
        <v>11.303858019240003</v>
      </c>
      <c r="R54" s="82">
        <v>11.801227772086564</v>
      </c>
      <c r="S54" s="60">
        <v>12.308680566286286</v>
      </c>
      <c r="T54" s="82">
        <v>12.837953830636595</v>
      </c>
      <c r="U54" s="62">
        <f t="shared" si="17"/>
        <v>59.079170398249445</v>
      </c>
      <c r="V54" s="10"/>
      <c r="X54" s="104"/>
      <c r="Z54" s="104"/>
    </row>
    <row r="55" spans="1:26" s="4" customFormat="1" ht="87" customHeight="1">
      <c r="A55" s="52" t="s">
        <v>61</v>
      </c>
      <c r="B55" s="57" t="s">
        <v>148</v>
      </c>
      <c r="C55" s="54" t="s">
        <v>17</v>
      </c>
      <c r="D55" s="61" t="str">
        <f t="shared" si="16"/>
        <v xml:space="preserve">2 км </v>
      </c>
      <c r="E55" s="54">
        <v>2023</v>
      </c>
      <c r="F55" s="54">
        <v>2024</v>
      </c>
      <c r="G55" s="62">
        <f t="shared" si="13"/>
        <v>13.766677529732016</v>
      </c>
      <c r="H55" s="62">
        <f t="shared" si="15"/>
        <v>13.766677529732016</v>
      </c>
      <c r="I55" s="62"/>
      <c r="J55" s="61"/>
      <c r="K55" s="61"/>
      <c r="L55" s="61"/>
      <c r="M55" s="55"/>
      <c r="N55" s="61" t="s">
        <v>77</v>
      </c>
      <c r="O55" s="61" t="s">
        <v>180</v>
      </c>
      <c r="P55" s="82"/>
      <c r="Q55" s="82"/>
      <c r="R55" s="82"/>
      <c r="S55" s="82">
        <v>0.52392300000000003</v>
      </c>
      <c r="T55" s="82">
        <v>13.242754529732016</v>
      </c>
      <c r="U55" s="62">
        <f>SUM(P55:T55)</f>
        <v>13.766677529732016</v>
      </c>
      <c r="V55" s="10"/>
      <c r="X55" s="104"/>
      <c r="Z55" s="104"/>
    </row>
    <row r="56" spans="1:26" s="4" customFormat="1" ht="64.2" customHeight="1">
      <c r="A56" s="52" t="s">
        <v>62</v>
      </c>
      <c r="B56" s="57" t="s">
        <v>149</v>
      </c>
      <c r="C56" s="61" t="s">
        <v>17</v>
      </c>
      <c r="D56" s="61" t="str">
        <f t="shared" si="16"/>
        <v>РП-6кВ
14 ячеек</v>
      </c>
      <c r="E56" s="54">
        <v>2023</v>
      </c>
      <c r="F56" s="54">
        <v>2024</v>
      </c>
      <c r="G56" s="62">
        <f t="shared" si="13"/>
        <v>39.498974818868291</v>
      </c>
      <c r="H56" s="62">
        <f t="shared" si="15"/>
        <v>39.498974818868291</v>
      </c>
      <c r="I56" s="62"/>
      <c r="J56" s="61"/>
      <c r="K56" s="61"/>
      <c r="L56" s="61"/>
      <c r="M56" s="55"/>
      <c r="N56" s="61" t="s">
        <v>160</v>
      </c>
      <c r="O56" s="61" t="s">
        <v>160</v>
      </c>
      <c r="P56" s="82"/>
      <c r="Q56" s="82"/>
      <c r="R56" s="82"/>
      <c r="S56" s="82">
        <v>11.503438933754477</v>
      </c>
      <c r="T56" s="82">
        <v>27.99553588511381</v>
      </c>
      <c r="U56" s="62">
        <f>SUM(P56:T56)</f>
        <v>39.498974818868291</v>
      </c>
      <c r="V56" s="10"/>
      <c r="X56" s="104"/>
      <c r="Z56" s="104"/>
    </row>
    <row r="57" spans="1:26" s="4" customFormat="1" ht="79.95" customHeight="1">
      <c r="A57" s="52" t="s">
        <v>63</v>
      </c>
      <c r="B57" s="53" t="s">
        <v>197</v>
      </c>
      <c r="C57" s="54" t="s">
        <v>17</v>
      </c>
      <c r="D57" s="61" t="str">
        <f>O57</f>
        <v>12,6 МВА
2-х цепная ВЛ 0,5 км</v>
      </c>
      <c r="E57" s="54">
        <v>2020</v>
      </c>
      <c r="F57" s="61">
        <v>2023</v>
      </c>
      <c r="G57" s="62">
        <f t="shared" ref="G57:G58" si="18">U57</f>
        <v>143.30858618350882</v>
      </c>
      <c r="H57" s="62">
        <f t="shared" ref="H57:H58" si="19">G57</f>
        <v>143.30858618350882</v>
      </c>
      <c r="I57" s="60"/>
      <c r="J57" s="61"/>
      <c r="K57" s="61"/>
      <c r="L57" s="61"/>
      <c r="M57" s="61" t="s">
        <v>227</v>
      </c>
      <c r="N57" s="61"/>
      <c r="O57" s="61" t="str">
        <f>M57</f>
        <v>12,6 МВА
2-х цепная ВЛ 0,5 км</v>
      </c>
      <c r="P57" s="60">
        <v>4.3068558125000003</v>
      </c>
      <c r="Q57" s="60">
        <f>46.76957771013-21.432</f>
        <v>25.337577710130002</v>
      </c>
      <c r="R57" s="60">
        <f>82.2362590188338-23.13</f>
        <v>59.106259018833811</v>
      </c>
      <c r="S57" s="60">
        <f>79.482893642045-24.925</f>
        <v>54.557893642045002</v>
      </c>
      <c r="T57" s="60"/>
      <c r="U57" s="62">
        <f>P57+Q57+R57+S57+T57</f>
        <v>143.30858618350882</v>
      </c>
      <c r="V57" s="10"/>
      <c r="X57" s="104"/>
      <c r="Z57" s="104"/>
    </row>
    <row r="58" spans="1:26" s="4" customFormat="1" ht="85.2" customHeight="1">
      <c r="A58" s="52" t="s">
        <v>194</v>
      </c>
      <c r="B58" s="53" t="s">
        <v>203</v>
      </c>
      <c r="C58" s="54" t="s">
        <v>17</v>
      </c>
      <c r="D58" s="61" t="str">
        <f>O58</f>
        <v>5,98 МВА
18,5 км</v>
      </c>
      <c r="E58" s="54">
        <v>2020</v>
      </c>
      <c r="F58" s="61">
        <v>2024</v>
      </c>
      <c r="G58" s="62">
        <f t="shared" si="18"/>
        <v>133.22018252132636</v>
      </c>
      <c r="H58" s="62">
        <f t="shared" si="19"/>
        <v>133.22018252132636</v>
      </c>
      <c r="I58" s="62"/>
      <c r="J58" s="61" t="s">
        <v>217</v>
      </c>
      <c r="K58" s="61" t="s">
        <v>204</v>
      </c>
      <c r="L58" s="61" t="s">
        <v>205</v>
      </c>
      <c r="M58" s="61" t="s">
        <v>206</v>
      </c>
      <c r="N58" s="61" t="s">
        <v>218</v>
      </c>
      <c r="O58" s="61" t="s">
        <v>219</v>
      </c>
      <c r="P58" s="60">
        <f>65.404349125-19.818</f>
        <v>45.586349124999998</v>
      </c>
      <c r="Q58" s="60">
        <v>24.267128152499996</v>
      </c>
      <c r="R58" s="60">
        <v>6.4267428545532006</v>
      </c>
      <c r="S58" s="60">
        <v>21.005367445684087</v>
      </c>
      <c r="T58" s="60">
        <f>62.6255949435891-26.691</f>
        <v>35.934594943589104</v>
      </c>
      <c r="U58" s="62">
        <f>P58+Q58+R58+S58+T58</f>
        <v>133.22018252132636</v>
      </c>
      <c r="V58" s="10"/>
      <c r="X58" s="104"/>
      <c r="Z58" s="104"/>
    </row>
    <row r="59" spans="1:26" s="4" customFormat="1" ht="120" customHeight="1">
      <c r="A59" s="52" t="s">
        <v>195</v>
      </c>
      <c r="B59" s="53" t="s">
        <v>199</v>
      </c>
      <c r="C59" s="54" t="s">
        <v>17</v>
      </c>
      <c r="D59" s="61" t="str">
        <f>O59</f>
        <v>4,1 МВА
5,2 км</v>
      </c>
      <c r="E59" s="54">
        <v>2020</v>
      </c>
      <c r="F59" s="61">
        <v>2024</v>
      </c>
      <c r="G59" s="62">
        <f t="shared" ref="G59:G60" si="20">U59</f>
        <v>160.50386019775669</v>
      </c>
      <c r="H59" s="62">
        <f t="shared" ref="H59:H60" si="21">G59</f>
        <v>160.50386019775669</v>
      </c>
      <c r="I59" s="60"/>
      <c r="J59" s="61"/>
      <c r="K59" s="61" t="s">
        <v>198</v>
      </c>
      <c r="L59" s="61" t="s">
        <v>200</v>
      </c>
      <c r="M59" s="61" t="s">
        <v>201</v>
      </c>
      <c r="N59" s="61" t="s">
        <v>200</v>
      </c>
      <c r="O59" s="61" t="s">
        <v>202</v>
      </c>
      <c r="P59" s="60">
        <v>39.01664555</v>
      </c>
      <c r="Q59" s="60">
        <v>32.613537454199999</v>
      </c>
      <c r="R59" s="60">
        <v>25.40143559692811</v>
      </c>
      <c r="S59" s="60">
        <v>14.75631651403544</v>
      </c>
      <c r="T59" s="60">
        <v>48.715925082593152</v>
      </c>
      <c r="U59" s="62">
        <f>P59+Q59+R59+S59+T59</f>
        <v>160.50386019775669</v>
      </c>
      <c r="V59" s="10"/>
      <c r="X59" s="104"/>
      <c r="Z59" s="104"/>
    </row>
    <row r="60" spans="1:26" s="4" customFormat="1" ht="136.94999999999999" customHeight="1">
      <c r="A60" s="52" t="s">
        <v>196</v>
      </c>
      <c r="B60" s="53" t="s">
        <v>213</v>
      </c>
      <c r="C60" s="54" t="s">
        <v>17</v>
      </c>
      <c r="D60" s="61" t="str">
        <f>O60</f>
        <v>4,11 МВА
17,9 км</v>
      </c>
      <c r="E60" s="54">
        <v>2020</v>
      </c>
      <c r="F60" s="61">
        <v>2024</v>
      </c>
      <c r="G60" s="62">
        <f t="shared" si="20"/>
        <v>84.067168687155473</v>
      </c>
      <c r="H60" s="62">
        <f t="shared" si="21"/>
        <v>84.067168687155473</v>
      </c>
      <c r="I60" s="62"/>
      <c r="J60" s="61" t="s">
        <v>208</v>
      </c>
      <c r="K60" s="61" t="s">
        <v>207</v>
      </c>
      <c r="L60" s="61" t="s">
        <v>210</v>
      </c>
      <c r="M60" s="61" t="s">
        <v>209</v>
      </c>
      <c r="N60" s="61" t="s">
        <v>211</v>
      </c>
      <c r="O60" s="61" t="s">
        <v>212</v>
      </c>
      <c r="P60" s="60">
        <v>11.27215</v>
      </c>
      <c r="Q60" s="60">
        <v>19.949757000000002</v>
      </c>
      <c r="R60" s="60">
        <v>13.243562568000002</v>
      </c>
      <c r="S60" s="60">
        <v>15.882162303376001</v>
      </c>
      <c r="T60" s="60">
        <v>23.71953681577947</v>
      </c>
      <c r="U60" s="62">
        <f>P60+Q60+R60+S60+T60</f>
        <v>84.067168687155473</v>
      </c>
      <c r="V60" s="10"/>
      <c r="X60" s="104"/>
      <c r="Z60" s="104"/>
    </row>
    <row r="61" spans="1:26" s="4" customFormat="1">
      <c r="A61" s="52" t="s">
        <v>27</v>
      </c>
      <c r="B61" s="53"/>
      <c r="C61" s="61"/>
      <c r="D61" s="61"/>
      <c r="E61" s="61"/>
      <c r="F61" s="61"/>
      <c r="G61" s="61"/>
      <c r="H61" s="61"/>
      <c r="I61" s="61"/>
      <c r="J61" s="61"/>
      <c r="K61" s="62"/>
      <c r="L61" s="62"/>
      <c r="M61" s="62"/>
      <c r="N61" s="62"/>
      <c r="O61" s="61"/>
      <c r="P61" s="60"/>
      <c r="Q61" s="60"/>
      <c r="R61" s="60"/>
      <c r="S61" s="60"/>
      <c r="T61" s="60"/>
      <c r="U61" s="60"/>
      <c r="V61" s="10"/>
      <c r="X61" s="104"/>
    </row>
    <row r="62" spans="1:26" s="4" customFormat="1" ht="34.799999999999997">
      <c r="A62" s="70" t="s">
        <v>64</v>
      </c>
      <c r="B62" s="106" t="s">
        <v>65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82"/>
      <c r="Q62" s="82"/>
      <c r="R62" s="82"/>
      <c r="S62" s="82"/>
      <c r="T62" s="82"/>
      <c r="U62" s="62"/>
      <c r="V62" s="10"/>
      <c r="X62" s="104"/>
    </row>
    <row r="63" spans="1:26" s="4" customFormat="1">
      <c r="A63" s="69" t="s">
        <v>32</v>
      </c>
      <c r="B63" s="53" t="s">
        <v>30</v>
      </c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82"/>
      <c r="Q63" s="82"/>
      <c r="R63" s="82"/>
      <c r="S63" s="82"/>
      <c r="T63" s="82"/>
      <c r="U63" s="62"/>
      <c r="V63" s="10"/>
      <c r="X63" s="104"/>
    </row>
    <row r="64" spans="1:26" s="4" customFormat="1" hidden="1">
      <c r="A64" s="69"/>
      <c r="B64" s="53" t="s">
        <v>66</v>
      </c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82"/>
      <c r="Q64" s="82"/>
      <c r="R64" s="82"/>
      <c r="S64" s="82"/>
      <c r="T64" s="82"/>
      <c r="U64" s="62"/>
      <c r="V64" s="10"/>
      <c r="X64" s="104"/>
    </row>
    <row r="65" spans="1:24" s="4" customFormat="1" hidden="1">
      <c r="A65" s="69" t="s">
        <v>33</v>
      </c>
      <c r="B65" s="53" t="s">
        <v>31</v>
      </c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82"/>
      <c r="Q65" s="82"/>
      <c r="R65" s="82"/>
      <c r="S65" s="82"/>
      <c r="T65" s="82"/>
      <c r="U65" s="62"/>
      <c r="V65" s="10"/>
      <c r="X65" s="104"/>
    </row>
    <row r="66" spans="1:24" s="4" customFormat="1" hidden="1">
      <c r="A66" s="69"/>
      <c r="B66" s="53" t="s">
        <v>66</v>
      </c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2"/>
      <c r="Q66" s="62"/>
      <c r="R66" s="62"/>
      <c r="S66" s="62"/>
      <c r="T66" s="60"/>
      <c r="U66" s="62"/>
      <c r="V66" s="10"/>
      <c r="X66" s="104"/>
    </row>
    <row r="67" spans="1:24" s="4" customFormat="1">
      <c r="A67" s="52" t="s">
        <v>27</v>
      </c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2"/>
      <c r="Q67" s="62"/>
      <c r="R67" s="62"/>
      <c r="S67" s="62"/>
      <c r="T67" s="60"/>
      <c r="U67" s="62"/>
      <c r="V67" s="10"/>
      <c r="X67" s="104"/>
    </row>
    <row r="68" spans="1:24" s="4" customFormat="1">
      <c r="A68" s="115" t="s">
        <v>67</v>
      </c>
      <c r="B68" s="115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2"/>
      <c r="Q68" s="62"/>
      <c r="R68" s="62"/>
      <c r="S68" s="62"/>
      <c r="T68" s="60"/>
      <c r="U68" s="62"/>
      <c r="V68" s="10"/>
      <c r="X68" s="104"/>
    </row>
    <row r="69" spans="1:24" s="4" customFormat="1" ht="52.2">
      <c r="A69" s="69"/>
      <c r="B69" s="106" t="s">
        <v>68</v>
      </c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2"/>
      <c r="Q69" s="62"/>
      <c r="R69" s="62"/>
      <c r="S69" s="62"/>
      <c r="T69" s="108"/>
      <c r="U69" s="62"/>
      <c r="V69" s="10"/>
      <c r="X69" s="104"/>
    </row>
    <row r="70" spans="1:24" s="4" customFormat="1">
      <c r="A70" s="52" t="s">
        <v>32</v>
      </c>
      <c r="B70" s="53" t="s">
        <v>30</v>
      </c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2"/>
      <c r="Q70" s="62"/>
      <c r="R70" s="62"/>
      <c r="S70" s="62"/>
      <c r="T70" s="60"/>
      <c r="U70" s="62"/>
      <c r="V70" s="10"/>
      <c r="X70" s="104"/>
    </row>
    <row r="71" spans="1:24" s="4" customFormat="1" hidden="1">
      <c r="A71" s="52" t="s">
        <v>33</v>
      </c>
      <c r="B71" s="53" t="s">
        <v>31</v>
      </c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2"/>
      <c r="Q71" s="62"/>
      <c r="R71" s="62"/>
      <c r="S71" s="62"/>
      <c r="T71" s="60"/>
      <c r="U71" s="62"/>
      <c r="V71" s="10"/>
      <c r="X71" s="104"/>
    </row>
    <row r="72" spans="1:24" s="4" customFormat="1">
      <c r="A72" s="52" t="s">
        <v>27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2"/>
      <c r="Q72" s="62"/>
      <c r="R72" s="62"/>
      <c r="S72" s="62"/>
      <c r="T72" s="60"/>
      <c r="U72" s="62"/>
      <c r="V72" s="10"/>
      <c r="X72" s="104"/>
    </row>
    <row r="73" spans="1:24" s="4" customFormat="1">
      <c r="A73" s="89"/>
      <c r="B73" s="90"/>
      <c r="C73" s="90"/>
      <c r="D73" s="90"/>
      <c r="E73" s="90"/>
      <c r="F73" s="14"/>
      <c r="G73" s="14"/>
      <c r="H73" s="14"/>
      <c r="I73" s="14"/>
      <c r="J73" s="14"/>
      <c r="K73" s="14"/>
      <c r="L73" s="14"/>
      <c r="M73" s="14"/>
      <c r="N73" s="14"/>
      <c r="O73" s="91"/>
      <c r="P73" s="91"/>
      <c r="Q73" s="91"/>
      <c r="R73" s="91"/>
      <c r="S73" s="92"/>
      <c r="T73" s="93"/>
      <c r="U73" s="14"/>
      <c r="V73" s="10"/>
      <c r="X73" s="104"/>
    </row>
    <row r="74" spans="1:24" s="4" customFormat="1" ht="23.4">
      <c r="A74" s="39" t="s">
        <v>70</v>
      </c>
      <c r="B74" s="5" t="s">
        <v>69</v>
      </c>
      <c r="C74" s="5"/>
      <c r="D74" s="5"/>
      <c r="E74" s="5"/>
      <c r="O74" s="19"/>
      <c r="P74" s="19"/>
      <c r="Q74" s="19"/>
      <c r="R74" s="19"/>
      <c r="S74" s="20"/>
      <c r="T74" s="24"/>
      <c r="X74" s="104"/>
    </row>
    <row r="75" spans="1:24" s="4" customFormat="1">
      <c r="A75" s="39" t="s">
        <v>71</v>
      </c>
      <c r="B75" s="5" t="s">
        <v>73</v>
      </c>
      <c r="C75" s="5"/>
      <c r="D75" s="5"/>
      <c r="E75" s="5"/>
      <c r="T75" s="24"/>
      <c r="X75" s="104"/>
    </row>
    <row r="76" spans="1:24" s="4" customFormat="1">
      <c r="A76" s="18" t="s">
        <v>72</v>
      </c>
      <c r="B76" s="5" t="s">
        <v>74</v>
      </c>
      <c r="C76" s="5"/>
      <c r="D76" s="5"/>
      <c r="E76" s="5"/>
      <c r="T76" s="24"/>
      <c r="X76" s="104"/>
    </row>
    <row r="77" spans="1:24" s="4" customFormat="1">
      <c r="A77" s="18" t="s">
        <v>76</v>
      </c>
      <c r="B77" s="5" t="s">
        <v>75</v>
      </c>
      <c r="C77" s="5"/>
      <c r="D77" s="5"/>
      <c r="E77" s="5"/>
      <c r="T77" s="24"/>
      <c r="X77" s="104"/>
    </row>
    <row r="78" spans="1:24" s="4" customFormat="1">
      <c r="A78" s="18"/>
      <c r="B78" s="5"/>
      <c r="C78" s="5"/>
      <c r="D78" s="5"/>
      <c r="E78" s="5"/>
      <c r="T78" s="24"/>
      <c r="X78" s="104"/>
    </row>
    <row r="79" spans="1:24" s="4" customFormat="1">
      <c r="A79" s="18"/>
      <c r="B79" s="5" t="s">
        <v>133</v>
      </c>
      <c r="C79" s="5"/>
      <c r="D79" s="5"/>
      <c r="E79" s="5"/>
      <c r="T79" s="24"/>
      <c r="X79" s="104"/>
    </row>
  </sheetData>
  <mergeCells count="21">
    <mergeCell ref="R8:U8"/>
    <mergeCell ref="A10:U10"/>
    <mergeCell ref="A11:U11"/>
    <mergeCell ref="D13:D14"/>
    <mergeCell ref="C13:C14"/>
    <mergeCell ref="P13:U13"/>
    <mergeCell ref="A68:B68"/>
    <mergeCell ref="B13:B14"/>
    <mergeCell ref="A13:A14"/>
    <mergeCell ref="J13:O13"/>
    <mergeCell ref="I13:I14"/>
    <mergeCell ref="H13:H14"/>
    <mergeCell ref="G13:G14"/>
    <mergeCell ref="F13:F14"/>
    <mergeCell ref="E13:E14"/>
    <mergeCell ref="S7:U7"/>
    <mergeCell ref="S1:U1"/>
    <mergeCell ref="S2:U2"/>
    <mergeCell ref="S3:U3"/>
    <mergeCell ref="S4:U4"/>
    <mergeCell ref="S5:U5"/>
  </mergeCells>
  <printOptions horizontalCentered="1"/>
  <pageMargins left="0.19685039370078741" right="0.19685039370078741" top="0.39370078740157483" bottom="0.19685039370078741" header="0" footer="0"/>
  <pageSetup paperSize="9" scale="45" fitToHeight="7" orientation="landscape" verticalDpi="180" r:id="rId1"/>
  <rowBreaks count="2" manualBreakCount="2">
    <brk id="33" max="20" man="1"/>
    <brk id="5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K80"/>
  <sheetViews>
    <sheetView zoomScale="40" zoomScaleNormal="40" zoomScaleSheetLayoutView="30" workbookViewId="0">
      <selection activeCell="O18" sqref="O18"/>
    </sheetView>
  </sheetViews>
  <sheetFormatPr defaultRowHeight="15.6"/>
  <cols>
    <col min="1" max="1" width="15" style="18" customWidth="1"/>
    <col min="2" max="2" width="48.33203125" style="4" customWidth="1"/>
    <col min="3" max="7" width="7.109375" style="4" bestFit="1" customWidth="1"/>
    <col min="8" max="8" width="8.6640625" style="4" bestFit="1" customWidth="1"/>
    <col min="9" max="13" width="7.109375" style="4" bestFit="1" customWidth="1"/>
    <col min="14" max="14" width="8.6640625" style="4" bestFit="1" customWidth="1"/>
    <col min="15" max="15" width="15.6640625" style="4" customWidth="1"/>
    <col min="16" max="19" width="5.44140625" style="4" customWidth="1"/>
    <col min="20" max="20" width="13.33203125" style="4" customWidth="1"/>
    <col min="21" max="22" width="13.88671875" style="4" customWidth="1"/>
    <col min="23" max="23" width="14" style="4" customWidth="1"/>
    <col min="24" max="24" width="13.88671875" style="5" customWidth="1"/>
    <col min="25" max="25" width="13.5546875" style="5" customWidth="1"/>
    <col min="26" max="27" width="5.6640625" style="5" customWidth="1"/>
    <col min="28" max="29" width="5.6640625" style="6" customWidth="1"/>
    <col min="30" max="30" width="11.33203125" style="6" customWidth="1"/>
    <col min="31" max="31" width="13.88671875" style="6" customWidth="1"/>
    <col min="32" max="33" width="13.88671875" style="4" customWidth="1"/>
    <col min="34" max="34" width="13.88671875" style="24" customWidth="1"/>
    <col min="35" max="35" width="16" style="4" customWidth="1"/>
  </cols>
  <sheetData>
    <row r="1" spans="1:35" ht="45.75" customHeight="1">
      <c r="V1" s="11"/>
      <c r="W1" s="11"/>
      <c r="AE1" s="4"/>
      <c r="AG1" s="111" t="s">
        <v>80</v>
      </c>
      <c r="AH1" s="111"/>
      <c r="AI1" s="111"/>
    </row>
    <row r="2" spans="1:35" ht="18">
      <c r="V2" s="12"/>
      <c r="W2" s="12"/>
      <c r="AE2" s="4"/>
      <c r="AG2" s="112" t="s">
        <v>12</v>
      </c>
      <c r="AH2" s="112"/>
      <c r="AI2" s="112"/>
    </row>
    <row r="3" spans="1:35" ht="18">
      <c r="V3" s="12"/>
      <c r="W3" s="12"/>
      <c r="AE3" s="4"/>
      <c r="AG3" s="112" t="s">
        <v>214</v>
      </c>
      <c r="AH3" s="112"/>
      <c r="AI3" s="112"/>
    </row>
    <row r="4" spans="1:35" ht="18.75" customHeight="1">
      <c r="V4" s="13"/>
      <c r="W4" s="13"/>
      <c r="AE4" s="4"/>
      <c r="AG4" s="113" t="s">
        <v>135</v>
      </c>
      <c r="AH4" s="113"/>
      <c r="AI4" s="113"/>
    </row>
    <row r="5" spans="1:35" ht="18">
      <c r="V5" s="14"/>
      <c r="W5" s="14"/>
      <c r="AE5" s="4"/>
      <c r="AG5" s="114" t="s">
        <v>190</v>
      </c>
      <c r="AH5" s="114"/>
      <c r="AI5" s="114"/>
    </row>
    <row r="6" spans="1:35" ht="18">
      <c r="V6" s="10"/>
      <c r="W6" s="10"/>
      <c r="AE6" s="4"/>
      <c r="AG6" s="47"/>
      <c r="AH6" s="78"/>
      <c r="AI6" s="48"/>
    </row>
    <row r="7" spans="1:35" ht="18">
      <c r="V7" s="15"/>
      <c r="W7" s="15"/>
      <c r="AE7" s="4"/>
      <c r="AG7" s="109" t="s">
        <v>13</v>
      </c>
      <c r="AH7" s="109"/>
      <c r="AI7" s="110"/>
    </row>
    <row r="8" spans="1:35" ht="18">
      <c r="V8" s="16"/>
      <c r="W8" s="16"/>
      <c r="AE8" s="46"/>
      <c r="AF8" s="117" t="s">
        <v>191</v>
      </c>
      <c r="AG8" s="117"/>
      <c r="AH8" s="117"/>
      <c r="AI8" s="117"/>
    </row>
    <row r="9" spans="1:35" ht="18">
      <c r="V9" s="17"/>
      <c r="W9" s="17"/>
      <c r="AE9" s="4"/>
      <c r="AG9" s="47"/>
      <c r="AH9" s="79"/>
      <c r="AI9" s="49" t="s">
        <v>14</v>
      </c>
    </row>
    <row r="10" spans="1:35" ht="22.8">
      <c r="A10" s="118" t="s">
        <v>192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</row>
    <row r="11" spans="1:35" ht="22.8">
      <c r="A11" s="118" t="s">
        <v>183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</row>
    <row r="12" spans="1:3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35" ht="54" customHeight="1">
      <c r="A13" s="128" t="s">
        <v>0</v>
      </c>
      <c r="B13" s="128" t="s">
        <v>81</v>
      </c>
      <c r="C13" s="123" t="s">
        <v>82</v>
      </c>
      <c r="D13" s="124"/>
      <c r="E13" s="124"/>
      <c r="F13" s="124"/>
      <c r="G13" s="124"/>
      <c r="H13" s="124"/>
      <c r="I13" s="116" t="s">
        <v>85</v>
      </c>
      <c r="J13" s="116"/>
      <c r="K13" s="116"/>
      <c r="L13" s="116"/>
      <c r="M13" s="116"/>
      <c r="N13" s="116"/>
      <c r="O13" s="119" t="s">
        <v>184</v>
      </c>
      <c r="P13" s="116" t="s">
        <v>87</v>
      </c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</row>
    <row r="14" spans="1:35" ht="83.4" customHeight="1">
      <c r="A14" s="129"/>
      <c r="B14" s="129"/>
      <c r="C14" s="125"/>
      <c r="D14" s="126"/>
      <c r="E14" s="126"/>
      <c r="F14" s="126"/>
      <c r="G14" s="126"/>
      <c r="H14" s="126"/>
      <c r="I14" s="116"/>
      <c r="J14" s="116"/>
      <c r="K14" s="116"/>
      <c r="L14" s="116"/>
      <c r="M14" s="116"/>
      <c r="N14" s="116"/>
      <c r="O14" s="120"/>
      <c r="P14" s="116" t="s">
        <v>185</v>
      </c>
      <c r="Q14" s="116"/>
      <c r="R14" s="116"/>
      <c r="S14" s="116"/>
      <c r="T14" s="116"/>
      <c r="U14" s="116" t="s">
        <v>186</v>
      </c>
      <c r="V14" s="116" t="s">
        <v>187</v>
      </c>
      <c r="W14" s="116" t="s">
        <v>188</v>
      </c>
      <c r="X14" s="116" t="s">
        <v>189</v>
      </c>
      <c r="Y14" s="122" t="s">
        <v>84</v>
      </c>
      <c r="Z14" s="116" t="s">
        <v>185</v>
      </c>
      <c r="AA14" s="116"/>
      <c r="AB14" s="116"/>
      <c r="AC14" s="116"/>
      <c r="AD14" s="116"/>
      <c r="AE14" s="116" t="s">
        <v>186</v>
      </c>
      <c r="AF14" s="116" t="s">
        <v>187</v>
      </c>
      <c r="AG14" s="116" t="s">
        <v>188</v>
      </c>
      <c r="AH14" s="116" t="s">
        <v>189</v>
      </c>
      <c r="AI14" s="131" t="s">
        <v>84</v>
      </c>
    </row>
    <row r="15" spans="1:35" ht="64.2" customHeight="1">
      <c r="A15" s="130"/>
      <c r="B15" s="130"/>
      <c r="C15" s="116" t="s">
        <v>83</v>
      </c>
      <c r="D15" s="116"/>
      <c r="E15" s="116"/>
      <c r="F15" s="116"/>
      <c r="G15" s="116"/>
      <c r="H15" s="127"/>
      <c r="I15" s="116" t="s">
        <v>83</v>
      </c>
      <c r="J15" s="116"/>
      <c r="K15" s="116"/>
      <c r="L15" s="116"/>
      <c r="M15" s="116"/>
      <c r="N15" s="116"/>
      <c r="O15" s="121"/>
      <c r="P15" s="83" t="s">
        <v>88</v>
      </c>
      <c r="Q15" s="83" t="s">
        <v>89</v>
      </c>
      <c r="R15" s="83" t="s">
        <v>90</v>
      </c>
      <c r="S15" s="83" t="s">
        <v>91</v>
      </c>
      <c r="T15" s="85" t="s">
        <v>84</v>
      </c>
      <c r="U15" s="116"/>
      <c r="V15" s="116"/>
      <c r="W15" s="116"/>
      <c r="X15" s="116"/>
      <c r="Y15" s="122"/>
      <c r="Z15" s="83" t="s">
        <v>88</v>
      </c>
      <c r="AA15" s="83" t="s">
        <v>89</v>
      </c>
      <c r="AB15" s="83" t="s">
        <v>90</v>
      </c>
      <c r="AC15" s="83" t="s">
        <v>91</v>
      </c>
      <c r="AD15" s="85" t="s">
        <v>84</v>
      </c>
      <c r="AE15" s="116"/>
      <c r="AF15" s="116"/>
      <c r="AG15" s="116"/>
      <c r="AH15" s="116"/>
      <c r="AI15" s="131"/>
    </row>
    <row r="16" spans="1:35" ht="32.4" customHeight="1">
      <c r="A16" s="86"/>
      <c r="B16" s="86"/>
      <c r="C16" s="85">
        <v>2020</v>
      </c>
      <c r="D16" s="85">
        <f>C16+1</f>
        <v>2021</v>
      </c>
      <c r="E16" s="85">
        <f t="shared" ref="E16:G16" si="0">D16+1</f>
        <v>2022</v>
      </c>
      <c r="F16" s="85">
        <f t="shared" si="0"/>
        <v>2023</v>
      </c>
      <c r="G16" s="85">
        <f t="shared" si="0"/>
        <v>2024</v>
      </c>
      <c r="H16" s="71" t="s">
        <v>84</v>
      </c>
      <c r="I16" s="85">
        <v>2020</v>
      </c>
      <c r="J16" s="85">
        <f>I16+1</f>
        <v>2021</v>
      </c>
      <c r="K16" s="85">
        <f t="shared" ref="K16:M16" si="1">J16+1</f>
        <v>2022</v>
      </c>
      <c r="L16" s="85">
        <f t="shared" si="1"/>
        <v>2023</v>
      </c>
      <c r="M16" s="85">
        <f t="shared" si="1"/>
        <v>2024</v>
      </c>
      <c r="N16" s="85" t="s">
        <v>84</v>
      </c>
      <c r="O16" s="85" t="s">
        <v>86</v>
      </c>
      <c r="P16" s="122" t="s">
        <v>92</v>
      </c>
      <c r="Q16" s="122"/>
      <c r="R16" s="122"/>
      <c r="S16" s="122"/>
      <c r="T16" s="122"/>
      <c r="U16" s="122"/>
      <c r="V16" s="122"/>
      <c r="W16" s="122"/>
      <c r="X16" s="122"/>
      <c r="Y16" s="122"/>
      <c r="Z16" s="122" t="s">
        <v>86</v>
      </c>
      <c r="AA16" s="122"/>
      <c r="AB16" s="122"/>
      <c r="AC16" s="122"/>
      <c r="AD16" s="122"/>
      <c r="AE16" s="122"/>
      <c r="AF16" s="122"/>
      <c r="AG16" s="122"/>
      <c r="AH16" s="122"/>
      <c r="AI16" s="122"/>
    </row>
    <row r="17" spans="1:35" s="21" customFormat="1" ht="33" customHeight="1">
      <c r="A17" s="88">
        <v>1</v>
      </c>
      <c r="B17" s="88">
        <f>A17+1</f>
        <v>2</v>
      </c>
      <c r="C17" s="88">
        <f t="shared" ref="C17:AI17" si="2">B17+1</f>
        <v>3</v>
      </c>
      <c r="D17" s="88">
        <f t="shared" si="2"/>
        <v>4</v>
      </c>
      <c r="E17" s="88">
        <f t="shared" si="2"/>
        <v>5</v>
      </c>
      <c r="F17" s="88">
        <f t="shared" si="2"/>
        <v>6</v>
      </c>
      <c r="G17" s="88">
        <f t="shared" si="2"/>
        <v>7</v>
      </c>
      <c r="H17" s="72">
        <f t="shared" si="2"/>
        <v>8</v>
      </c>
      <c r="I17" s="88">
        <f t="shared" si="2"/>
        <v>9</v>
      </c>
      <c r="J17" s="88">
        <f t="shared" si="2"/>
        <v>10</v>
      </c>
      <c r="K17" s="88">
        <f t="shared" si="2"/>
        <v>11</v>
      </c>
      <c r="L17" s="88">
        <f t="shared" si="2"/>
        <v>12</v>
      </c>
      <c r="M17" s="88">
        <f t="shared" si="2"/>
        <v>13</v>
      </c>
      <c r="N17" s="88">
        <f t="shared" si="2"/>
        <v>14</v>
      </c>
      <c r="O17" s="88">
        <f t="shared" si="2"/>
        <v>15</v>
      </c>
      <c r="P17" s="88">
        <f t="shared" si="2"/>
        <v>16</v>
      </c>
      <c r="Q17" s="88">
        <f t="shared" si="2"/>
        <v>17</v>
      </c>
      <c r="R17" s="88">
        <f t="shared" si="2"/>
        <v>18</v>
      </c>
      <c r="S17" s="88">
        <f t="shared" si="2"/>
        <v>19</v>
      </c>
      <c r="T17" s="88">
        <f t="shared" si="2"/>
        <v>20</v>
      </c>
      <c r="U17" s="88">
        <f t="shared" si="2"/>
        <v>21</v>
      </c>
      <c r="V17" s="88">
        <f t="shared" si="2"/>
        <v>22</v>
      </c>
      <c r="W17" s="88">
        <f t="shared" si="2"/>
        <v>23</v>
      </c>
      <c r="X17" s="88">
        <f t="shared" si="2"/>
        <v>24</v>
      </c>
      <c r="Y17" s="88">
        <f t="shared" si="2"/>
        <v>25</v>
      </c>
      <c r="Z17" s="88">
        <f t="shared" si="2"/>
        <v>26</v>
      </c>
      <c r="AA17" s="88">
        <f t="shared" si="2"/>
        <v>27</v>
      </c>
      <c r="AB17" s="88">
        <f t="shared" si="2"/>
        <v>28</v>
      </c>
      <c r="AC17" s="88">
        <f t="shared" si="2"/>
        <v>29</v>
      </c>
      <c r="AD17" s="88">
        <f t="shared" si="2"/>
        <v>30</v>
      </c>
      <c r="AE17" s="88">
        <f t="shared" si="2"/>
        <v>31</v>
      </c>
      <c r="AF17" s="88">
        <f t="shared" si="2"/>
        <v>32</v>
      </c>
      <c r="AG17" s="88">
        <f t="shared" si="2"/>
        <v>33</v>
      </c>
      <c r="AH17" s="59">
        <f t="shared" si="2"/>
        <v>34</v>
      </c>
      <c r="AI17" s="88">
        <f t="shared" si="2"/>
        <v>35</v>
      </c>
    </row>
    <row r="18" spans="1:35" ht="45.6" customHeight="1">
      <c r="A18" s="88"/>
      <c r="B18" s="85" t="s">
        <v>7</v>
      </c>
      <c r="C18" s="84"/>
      <c r="D18" s="51"/>
      <c r="E18" s="84"/>
      <c r="F18" s="84"/>
      <c r="G18" s="51"/>
      <c r="H18" s="73"/>
      <c r="I18" s="51"/>
      <c r="J18" s="51"/>
      <c r="K18" s="51"/>
      <c r="L18" s="51"/>
      <c r="M18" s="51"/>
      <c r="N18" s="51"/>
      <c r="O18" s="51">
        <f>O19+O44</f>
        <v>2087.1998850598457</v>
      </c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>
        <f t="shared" ref="AD18:AH18" si="3">AD19+AD44</f>
        <v>386.78164260350002</v>
      </c>
      <c r="AE18" s="51">
        <f t="shared" si="3"/>
        <v>399.76848099921403</v>
      </c>
      <c r="AF18" s="51">
        <f t="shared" si="3"/>
        <v>416.17804273422087</v>
      </c>
      <c r="AG18" s="51">
        <f t="shared" si="3"/>
        <v>433.30166820490172</v>
      </c>
      <c r="AH18" s="51">
        <f t="shared" si="3"/>
        <v>451.16966540499379</v>
      </c>
      <c r="AI18" s="51">
        <f>AI19+AI44+0.001</f>
        <v>2087.2004999468309</v>
      </c>
    </row>
    <row r="19" spans="1:35" ht="51.6" customHeight="1">
      <c r="A19" s="88">
        <v>1</v>
      </c>
      <c r="B19" s="83" t="s">
        <v>8</v>
      </c>
      <c r="C19" s="84"/>
      <c r="D19" s="84"/>
      <c r="E19" s="84"/>
      <c r="F19" s="84"/>
      <c r="G19" s="51"/>
      <c r="H19" s="73"/>
      <c r="I19" s="51"/>
      <c r="J19" s="51"/>
      <c r="K19" s="51"/>
      <c r="L19" s="51"/>
      <c r="M19" s="51"/>
      <c r="N19" s="51"/>
      <c r="O19" s="51">
        <f>O20+O41</f>
        <v>810.72213447252363</v>
      </c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>
        <f t="shared" ref="AD19:AI19" si="4">AD20+AD41</f>
        <v>67.879854100000003</v>
      </c>
      <c r="AE19" s="51">
        <f t="shared" si="4"/>
        <v>205.26935554480002</v>
      </c>
      <c r="AF19" s="51">
        <f t="shared" si="4"/>
        <v>228.4821164957936</v>
      </c>
      <c r="AG19" s="51">
        <f t="shared" si="4"/>
        <v>227.06267496286236</v>
      </c>
      <c r="AH19" s="51">
        <f t="shared" si="4"/>
        <v>82.027719371139909</v>
      </c>
      <c r="AI19" s="51">
        <f t="shared" si="4"/>
        <v>810.72172047459594</v>
      </c>
    </row>
    <row r="20" spans="1:35" ht="66.599999999999994" customHeight="1">
      <c r="A20" s="52" t="s">
        <v>10</v>
      </c>
      <c r="B20" s="83" t="s">
        <v>9</v>
      </c>
      <c r="C20" s="84"/>
      <c r="D20" s="51"/>
      <c r="E20" s="84"/>
      <c r="F20" s="84"/>
      <c r="G20" s="51"/>
      <c r="H20" s="73"/>
      <c r="I20" s="51"/>
      <c r="J20" s="84"/>
      <c r="K20" s="84"/>
      <c r="L20" s="84"/>
      <c r="M20" s="84"/>
      <c r="N20" s="84"/>
      <c r="O20" s="51">
        <f>SUM(O21:O27)</f>
        <v>675.72213447252363</v>
      </c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>
        <f t="shared" ref="AD20:AI20" si="5">SUM(AD21:AD27)</f>
        <v>47.879854100000003</v>
      </c>
      <c r="AE20" s="51">
        <f t="shared" si="5"/>
        <v>180.26935554480002</v>
      </c>
      <c r="AF20" s="51">
        <f t="shared" si="5"/>
        <v>198.4821164957936</v>
      </c>
      <c r="AG20" s="51">
        <f t="shared" si="5"/>
        <v>197.06267496286236</v>
      </c>
      <c r="AH20" s="51">
        <f t="shared" si="5"/>
        <v>52.027719371139902</v>
      </c>
      <c r="AI20" s="51">
        <f t="shared" si="5"/>
        <v>675.72172047459594</v>
      </c>
    </row>
    <row r="21" spans="1:35" s="4" customFormat="1" ht="168" customHeight="1">
      <c r="A21" s="52" t="s">
        <v>16</v>
      </c>
      <c r="B21" s="53" t="s">
        <v>136</v>
      </c>
      <c r="C21" s="60"/>
      <c r="D21" s="62"/>
      <c r="E21" s="62"/>
      <c r="F21" s="62"/>
      <c r="G21" s="62"/>
      <c r="H21" s="75"/>
      <c r="I21" s="62"/>
      <c r="J21" s="62"/>
      <c r="K21" s="62"/>
      <c r="L21" s="62"/>
      <c r="M21" s="62"/>
      <c r="N21" s="62"/>
      <c r="O21" s="62">
        <v>98.155763103330571</v>
      </c>
      <c r="P21" s="60"/>
      <c r="Q21" s="60"/>
      <c r="R21" s="60"/>
      <c r="S21" s="62"/>
      <c r="T21" s="61" t="s">
        <v>151</v>
      </c>
      <c r="U21" s="61" t="s">
        <v>151</v>
      </c>
      <c r="V21" s="61" t="s">
        <v>151</v>
      </c>
      <c r="W21" s="61" t="s">
        <v>151</v>
      </c>
      <c r="X21" s="61" t="s">
        <v>151</v>
      </c>
      <c r="Y21" s="61" t="s">
        <v>166</v>
      </c>
      <c r="Z21" s="62"/>
      <c r="AA21" s="62"/>
      <c r="AB21" s="62"/>
      <c r="AC21" s="62"/>
      <c r="AD21" s="94">
        <f>((2.533+0.51)*1.217*0.2+(1.419*1.217)*2+(1.5*0.4*4)*2)*2</f>
        <v>17.989024400000002</v>
      </c>
      <c r="AE21" s="94">
        <f t="shared" ref="AE21:AF24" si="6">AD21*1.044</f>
        <v>18.780541473600003</v>
      </c>
      <c r="AF21" s="94">
        <f t="shared" si="6"/>
        <v>19.606885298438403</v>
      </c>
      <c r="AG21" s="81">
        <f t="shared" ref="AG21:AH24" si="7">AF21*1.043</f>
        <v>20.449981366271253</v>
      </c>
      <c r="AH21" s="94">
        <f t="shared" si="7"/>
        <v>21.329330565020914</v>
      </c>
      <c r="AI21" s="84">
        <f>SUM(AD21:AH21)</f>
        <v>98.155763103330571</v>
      </c>
    </row>
    <row r="22" spans="1:35" ht="192" customHeight="1">
      <c r="A22" s="52" t="s">
        <v>19</v>
      </c>
      <c r="B22" s="53" t="s">
        <v>18</v>
      </c>
      <c r="C22" s="60"/>
      <c r="D22" s="62"/>
      <c r="E22" s="62"/>
      <c r="F22" s="62"/>
      <c r="G22" s="62"/>
      <c r="H22" s="75"/>
      <c r="I22" s="62"/>
      <c r="J22" s="62"/>
      <c r="K22" s="62"/>
      <c r="L22" s="62"/>
      <c r="M22" s="60"/>
      <c r="N22" s="62"/>
      <c r="O22" s="62">
        <v>45.000633420865789</v>
      </c>
      <c r="P22" s="62"/>
      <c r="Q22" s="62"/>
      <c r="R22" s="62"/>
      <c r="S22" s="62"/>
      <c r="T22" s="61" t="s">
        <v>152</v>
      </c>
      <c r="U22" s="61" t="s">
        <v>152</v>
      </c>
      <c r="V22" s="61" t="s">
        <v>152</v>
      </c>
      <c r="W22" s="61" t="s">
        <v>152</v>
      </c>
      <c r="X22" s="61" t="s">
        <v>152</v>
      </c>
      <c r="Y22" s="61" t="s">
        <v>169</v>
      </c>
      <c r="Z22" s="62"/>
      <c r="AA22" s="62"/>
      <c r="AB22" s="74"/>
      <c r="AC22" s="62"/>
      <c r="AD22" s="94">
        <f>(2.533+0.51)*1.217*0.2+(1.112*1.217)*2+(1.5*0.4*4)*2</f>
        <v>8.2472742000000014</v>
      </c>
      <c r="AE22" s="94">
        <f t="shared" si="6"/>
        <v>8.610154264800002</v>
      </c>
      <c r="AF22" s="94">
        <f t="shared" si="6"/>
        <v>8.9890010524512025</v>
      </c>
      <c r="AG22" s="81">
        <f t="shared" si="7"/>
        <v>9.3755280977066029</v>
      </c>
      <c r="AH22" s="94">
        <f t="shared" si="7"/>
        <v>9.7786758059079855</v>
      </c>
      <c r="AI22" s="84">
        <f t="shared" ref="AI22:AI27" si="8">SUM(AD22:AH22)</f>
        <v>45.000633420865789</v>
      </c>
    </row>
    <row r="23" spans="1:35" ht="168.6" customHeight="1">
      <c r="A23" s="52" t="s">
        <v>21</v>
      </c>
      <c r="B23" s="53" t="s">
        <v>20</v>
      </c>
      <c r="C23" s="60"/>
      <c r="D23" s="62"/>
      <c r="E23" s="62"/>
      <c r="F23" s="62"/>
      <c r="G23" s="62"/>
      <c r="H23" s="75"/>
      <c r="I23" s="62"/>
      <c r="J23" s="62"/>
      <c r="K23" s="62"/>
      <c r="L23" s="62"/>
      <c r="M23" s="60"/>
      <c r="N23" s="62"/>
      <c r="O23" s="62">
        <v>51.270104527461484</v>
      </c>
      <c r="P23" s="62"/>
      <c r="Q23" s="62"/>
      <c r="R23" s="62"/>
      <c r="S23" s="62"/>
      <c r="T23" s="61" t="s">
        <v>170</v>
      </c>
      <c r="U23" s="61" t="s">
        <v>170</v>
      </c>
      <c r="V23" s="61" t="s">
        <v>170</v>
      </c>
      <c r="W23" s="61" t="s">
        <v>170</v>
      </c>
      <c r="X23" s="61" t="s">
        <v>170</v>
      </c>
      <c r="Y23" s="61" t="s">
        <v>171</v>
      </c>
      <c r="Z23" s="62"/>
      <c r="AA23" s="62"/>
      <c r="AB23" s="74"/>
      <c r="AC23" s="62"/>
      <c r="AD23" s="94">
        <f>(2.533+0.51)*1.217*0.1*3+(0.982*1.217)*3+(1.5*0.15*4)*3+2</f>
        <v>9.3962813000000001</v>
      </c>
      <c r="AE23" s="94">
        <f t="shared" si="6"/>
        <v>9.8097176772000001</v>
      </c>
      <c r="AF23" s="94">
        <f t="shared" si="6"/>
        <v>10.241345254996801</v>
      </c>
      <c r="AG23" s="81">
        <f t="shared" si="7"/>
        <v>10.681723100961664</v>
      </c>
      <c r="AH23" s="94">
        <f t="shared" si="7"/>
        <v>11.141037194303015</v>
      </c>
      <c r="AI23" s="84">
        <f t="shared" si="8"/>
        <v>51.270104527461484</v>
      </c>
    </row>
    <row r="24" spans="1:35" ht="214.95" customHeight="1">
      <c r="A24" s="52" t="s">
        <v>22</v>
      </c>
      <c r="B24" s="63" t="s">
        <v>23</v>
      </c>
      <c r="C24" s="60"/>
      <c r="D24" s="62"/>
      <c r="E24" s="62"/>
      <c r="F24" s="62"/>
      <c r="G24" s="62"/>
      <c r="H24" s="75"/>
      <c r="I24" s="62"/>
      <c r="J24" s="62"/>
      <c r="K24" s="62"/>
      <c r="L24" s="62"/>
      <c r="M24" s="60"/>
      <c r="N24" s="62"/>
      <c r="O24" s="62">
        <v>45.000633420865789</v>
      </c>
      <c r="P24" s="62"/>
      <c r="Q24" s="62"/>
      <c r="R24" s="62"/>
      <c r="S24" s="62"/>
      <c r="T24" s="61" t="s">
        <v>152</v>
      </c>
      <c r="U24" s="61" t="s">
        <v>152</v>
      </c>
      <c r="V24" s="61" t="s">
        <v>152</v>
      </c>
      <c r="W24" s="61" t="s">
        <v>152</v>
      </c>
      <c r="X24" s="61" t="s">
        <v>152</v>
      </c>
      <c r="Y24" s="61" t="s">
        <v>169</v>
      </c>
      <c r="Z24" s="62"/>
      <c r="AA24" s="62"/>
      <c r="AB24" s="62"/>
      <c r="AC24" s="62"/>
      <c r="AD24" s="94">
        <f>(2.533+0.51)*1.217*0.2+(1.112*1.217)*2+(1.5*0.4*4)*2</f>
        <v>8.2472742000000014</v>
      </c>
      <c r="AE24" s="94">
        <f t="shared" si="6"/>
        <v>8.610154264800002</v>
      </c>
      <c r="AF24" s="94">
        <f t="shared" si="6"/>
        <v>8.9890010524512025</v>
      </c>
      <c r="AG24" s="81">
        <f t="shared" si="7"/>
        <v>9.3755280977066029</v>
      </c>
      <c r="AH24" s="94">
        <f t="shared" si="7"/>
        <v>9.7786758059079855</v>
      </c>
      <c r="AI24" s="84">
        <f t="shared" si="8"/>
        <v>45.000633420865789</v>
      </c>
    </row>
    <row r="25" spans="1:35" ht="173.4" customHeight="1">
      <c r="A25" s="52" t="s">
        <v>25</v>
      </c>
      <c r="B25" s="53" t="s">
        <v>24</v>
      </c>
      <c r="C25" s="60"/>
      <c r="D25" s="62"/>
      <c r="E25" s="62"/>
      <c r="F25" s="62"/>
      <c r="G25" s="62"/>
      <c r="H25" s="75"/>
      <c r="I25" s="62"/>
      <c r="J25" s="62"/>
      <c r="K25" s="62"/>
      <c r="L25" s="62"/>
      <c r="M25" s="60"/>
      <c r="N25" s="62"/>
      <c r="O25" s="62">
        <v>25.882999999999999</v>
      </c>
      <c r="P25" s="62"/>
      <c r="Q25" s="62"/>
      <c r="R25" s="62"/>
      <c r="S25" s="62"/>
      <c r="T25" s="61"/>
      <c r="U25" s="61"/>
      <c r="V25" s="61" t="s">
        <v>215</v>
      </c>
      <c r="W25" s="95"/>
      <c r="X25" s="61"/>
      <c r="Y25" s="61" t="str">
        <f>V25</f>
        <v>КЛ-10кВ
1,4 км
РП-10кВ
7 ячеек с ВВ</v>
      </c>
      <c r="Z25" s="62"/>
      <c r="AA25" s="62"/>
      <c r="AB25" s="62"/>
      <c r="AC25" s="62"/>
      <c r="AD25" s="82"/>
      <c r="AE25" s="82">
        <f>(17.177*1.217/2+(0.591+2.25+0.611)*1.193*0.35)*1.044</f>
        <v>12.416904932400001</v>
      </c>
      <c r="AF25" s="82">
        <f>((0.591+2.25+0.611)*1.193*(3.35-0.35))*1.044*1.044</f>
        <v>13.465841018688003</v>
      </c>
      <c r="AG25" s="60"/>
      <c r="AH25" s="82"/>
      <c r="AI25" s="84">
        <f>SUM(AD25:AH25)</f>
        <v>25.882745951088005</v>
      </c>
    </row>
    <row r="26" spans="1:35" ht="57" customHeight="1">
      <c r="A26" s="58" t="s">
        <v>26</v>
      </c>
      <c r="B26" s="57" t="s">
        <v>216</v>
      </c>
      <c r="C26" s="60"/>
      <c r="D26" s="62"/>
      <c r="E26" s="62"/>
      <c r="F26" s="62"/>
      <c r="G26" s="62"/>
      <c r="H26" s="75"/>
      <c r="I26" s="62"/>
      <c r="J26" s="62"/>
      <c r="K26" s="62"/>
      <c r="L26" s="62"/>
      <c r="M26" s="60"/>
      <c r="N26" s="62"/>
      <c r="O26" s="62">
        <v>269.411</v>
      </c>
      <c r="P26" s="62"/>
      <c r="Q26" s="62"/>
      <c r="R26" s="62"/>
      <c r="S26" s="62"/>
      <c r="T26" s="61" t="s">
        <v>228</v>
      </c>
      <c r="U26" s="61"/>
      <c r="V26" s="64"/>
      <c r="W26" s="61" t="s">
        <v>221</v>
      </c>
      <c r="X26" s="61"/>
      <c r="Y26" s="61" t="str">
        <f>W26</f>
        <v>32 МВА
2-х цепная ВЛ 10,8 км</v>
      </c>
      <c r="Z26" s="62"/>
      <c r="AA26" s="62"/>
      <c r="AB26" s="62"/>
      <c r="AC26" s="62"/>
      <c r="AD26" s="94">
        <f>2</f>
        <v>2</v>
      </c>
      <c r="AE26" s="94">
        <f>88.9962</f>
        <v>88.996200000000002</v>
      </c>
      <c r="AF26" s="94">
        <f>115.9814</f>
        <v>115.98139999999999</v>
      </c>
      <c r="AG26" s="94">
        <f>62.433</f>
        <v>62.433</v>
      </c>
      <c r="AH26" s="94"/>
      <c r="AI26" s="84">
        <f>SUM(AD26:AH26)</f>
        <v>269.41059999999999</v>
      </c>
    </row>
    <row r="27" spans="1:35" ht="61.2" customHeight="1">
      <c r="A27" s="58" t="s">
        <v>145</v>
      </c>
      <c r="B27" s="57" t="s">
        <v>147</v>
      </c>
      <c r="C27" s="60"/>
      <c r="D27" s="62"/>
      <c r="E27" s="62"/>
      <c r="F27" s="62"/>
      <c r="G27" s="62"/>
      <c r="H27" s="75"/>
      <c r="I27" s="62"/>
      <c r="J27" s="62"/>
      <c r="K27" s="62"/>
      <c r="L27" s="62"/>
      <c r="M27" s="60"/>
      <c r="N27" s="62"/>
      <c r="O27" s="62">
        <v>141.001</v>
      </c>
      <c r="P27" s="62"/>
      <c r="Q27" s="62"/>
      <c r="R27" s="62"/>
      <c r="S27" s="62"/>
      <c r="T27" s="61" t="s">
        <v>228</v>
      </c>
      <c r="U27" s="64"/>
      <c r="V27" s="61"/>
      <c r="W27" s="54" t="s">
        <v>146</v>
      </c>
      <c r="X27" s="61"/>
      <c r="Y27" s="61" t="str">
        <f>W27</f>
        <v>20 МВА</v>
      </c>
      <c r="Z27" s="62"/>
      <c r="AA27" s="62"/>
      <c r="AB27" s="62"/>
      <c r="AC27" s="62"/>
      <c r="AD27" s="82">
        <v>2</v>
      </c>
      <c r="AE27" s="82">
        <f>(5.01*2+15.989*2*0.5)*1.217*1.044</f>
        <v>33.045682932000005</v>
      </c>
      <c r="AF27" s="82">
        <f>15.989*2*0.5*1.217*1.044*1.044</f>
        <v>21.208642818768006</v>
      </c>
      <c r="AG27" s="82">
        <f>(1.66*(2+6*2+1)+0.002634*(100*2+40*2+582+306)+47.542*0.7)*1.217*1.044*1.044*1.043</f>
        <v>84.746914300216247</v>
      </c>
      <c r="AH27" s="82"/>
      <c r="AI27" s="84">
        <f t="shared" si="8"/>
        <v>141.00124005098425</v>
      </c>
    </row>
    <row r="28" spans="1:35" ht="18">
      <c r="A28" s="52" t="s">
        <v>27</v>
      </c>
      <c r="B28" s="61"/>
      <c r="C28" s="62"/>
      <c r="D28" s="62"/>
      <c r="E28" s="62"/>
      <c r="F28" s="62"/>
      <c r="G28" s="62"/>
      <c r="H28" s="75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1"/>
      <c r="U28" s="61"/>
      <c r="V28" s="61"/>
      <c r="W28" s="61"/>
      <c r="X28" s="61"/>
      <c r="Y28" s="61"/>
      <c r="Z28" s="62"/>
      <c r="AA28" s="62"/>
      <c r="AB28" s="62"/>
      <c r="AC28" s="62"/>
      <c r="AD28" s="62"/>
      <c r="AE28" s="62"/>
      <c r="AF28" s="62"/>
      <c r="AG28" s="62"/>
      <c r="AH28" s="60"/>
      <c r="AI28" s="84"/>
    </row>
    <row r="29" spans="1:35" ht="34.799999999999997">
      <c r="A29" s="65" t="s">
        <v>29</v>
      </c>
      <c r="B29" s="83" t="s">
        <v>28</v>
      </c>
      <c r="C29" s="62"/>
      <c r="D29" s="62"/>
      <c r="E29" s="62"/>
      <c r="F29" s="62"/>
      <c r="G29" s="62"/>
      <c r="H29" s="75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1"/>
      <c r="U29" s="61"/>
      <c r="V29" s="61"/>
      <c r="W29" s="61"/>
      <c r="X29" s="61"/>
      <c r="Y29" s="61"/>
      <c r="Z29" s="62"/>
      <c r="AA29" s="62"/>
      <c r="AB29" s="62"/>
      <c r="AC29" s="62"/>
      <c r="AD29" s="62"/>
      <c r="AE29" s="62"/>
      <c r="AF29" s="62"/>
      <c r="AG29" s="62"/>
      <c r="AH29" s="60"/>
      <c r="AI29" s="84"/>
    </row>
    <row r="30" spans="1:35" ht="18">
      <c r="A30" s="52" t="s">
        <v>32</v>
      </c>
      <c r="B30" s="53" t="s">
        <v>30</v>
      </c>
      <c r="C30" s="62"/>
      <c r="D30" s="62"/>
      <c r="E30" s="62"/>
      <c r="F30" s="62"/>
      <c r="G30" s="62"/>
      <c r="H30" s="75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1"/>
      <c r="U30" s="61"/>
      <c r="V30" s="61"/>
      <c r="W30" s="61"/>
      <c r="X30" s="61"/>
      <c r="Y30" s="61"/>
      <c r="Z30" s="62"/>
      <c r="AA30" s="62"/>
      <c r="AB30" s="62"/>
      <c r="AC30" s="62"/>
      <c r="AD30" s="62"/>
      <c r="AE30" s="62"/>
      <c r="AF30" s="62"/>
      <c r="AG30" s="62"/>
      <c r="AH30" s="60"/>
      <c r="AI30" s="84"/>
    </row>
    <row r="31" spans="1:35" ht="18">
      <c r="A31" s="52" t="s">
        <v>33</v>
      </c>
      <c r="B31" s="53" t="s">
        <v>31</v>
      </c>
      <c r="C31" s="62"/>
      <c r="D31" s="62"/>
      <c r="E31" s="62"/>
      <c r="F31" s="62"/>
      <c r="G31" s="62"/>
      <c r="H31" s="75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1"/>
      <c r="U31" s="61"/>
      <c r="V31" s="61"/>
      <c r="W31" s="61"/>
      <c r="X31" s="61"/>
      <c r="Y31" s="61"/>
      <c r="Z31" s="62"/>
      <c r="AA31" s="62"/>
      <c r="AB31" s="62"/>
      <c r="AC31" s="62"/>
      <c r="AD31" s="62"/>
      <c r="AE31" s="62"/>
      <c r="AF31" s="62"/>
      <c r="AG31" s="62"/>
      <c r="AH31" s="60"/>
      <c r="AI31" s="84"/>
    </row>
    <row r="32" spans="1:35" ht="18">
      <c r="A32" s="52" t="s">
        <v>27</v>
      </c>
      <c r="B32" s="61"/>
      <c r="C32" s="62"/>
      <c r="D32" s="62"/>
      <c r="E32" s="62"/>
      <c r="F32" s="62"/>
      <c r="G32" s="62"/>
      <c r="H32" s="75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1"/>
      <c r="U32" s="61"/>
      <c r="V32" s="61"/>
      <c r="W32" s="61"/>
      <c r="X32" s="61"/>
      <c r="Y32" s="61"/>
      <c r="Z32" s="62"/>
      <c r="AA32" s="62"/>
      <c r="AB32" s="62"/>
      <c r="AC32" s="62"/>
      <c r="AD32" s="62"/>
      <c r="AE32" s="62"/>
      <c r="AF32" s="62"/>
      <c r="AG32" s="62"/>
      <c r="AH32" s="60"/>
      <c r="AI32" s="84"/>
    </row>
    <row r="33" spans="1:35" ht="18">
      <c r="A33" s="65" t="s">
        <v>35</v>
      </c>
      <c r="B33" s="83" t="s">
        <v>34</v>
      </c>
      <c r="C33" s="62"/>
      <c r="D33" s="62"/>
      <c r="E33" s="62"/>
      <c r="F33" s="62"/>
      <c r="G33" s="62"/>
      <c r="H33" s="75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1"/>
      <c r="U33" s="61"/>
      <c r="V33" s="61"/>
      <c r="W33" s="61"/>
      <c r="X33" s="61"/>
      <c r="Y33" s="61"/>
      <c r="Z33" s="62"/>
      <c r="AA33" s="62"/>
      <c r="AB33" s="62"/>
      <c r="AC33" s="62"/>
      <c r="AD33" s="62"/>
      <c r="AE33" s="62"/>
      <c r="AF33" s="62"/>
      <c r="AG33" s="62"/>
      <c r="AH33" s="60"/>
      <c r="AI33" s="84"/>
    </row>
    <row r="34" spans="1:35" ht="18">
      <c r="A34" s="52" t="s">
        <v>32</v>
      </c>
      <c r="B34" s="53" t="s">
        <v>30</v>
      </c>
      <c r="C34" s="62"/>
      <c r="D34" s="62"/>
      <c r="E34" s="62"/>
      <c r="F34" s="62"/>
      <c r="G34" s="62"/>
      <c r="H34" s="75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1"/>
      <c r="U34" s="61"/>
      <c r="V34" s="61"/>
      <c r="W34" s="61"/>
      <c r="X34" s="61"/>
      <c r="Y34" s="61"/>
      <c r="Z34" s="62"/>
      <c r="AA34" s="62"/>
      <c r="AB34" s="62"/>
      <c r="AC34" s="62"/>
      <c r="AD34" s="62"/>
      <c r="AE34" s="62"/>
      <c r="AF34" s="62"/>
      <c r="AG34" s="62"/>
      <c r="AH34" s="60"/>
      <c r="AI34" s="84"/>
    </row>
    <row r="35" spans="1:35" ht="18">
      <c r="A35" s="52" t="s">
        <v>33</v>
      </c>
      <c r="B35" s="53" t="s">
        <v>31</v>
      </c>
      <c r="C35" s="62"/>
      <c r="D35" s="62"/>
      <c r="E35" s="62"/>
      <c r="F35" s="62"/>
      <c r="G35" s="62"/>
      <c r="H35" s="75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1"/>
      <c r="U35" s="61"/>
      <c r="V35" s="61"/>
      <c r="W35" s="61"/>
      <c r="X35" s="61"/>
      <c r="Y35" s="61"/>
      <c r="Z35" s="62"/>
      <c r="AA35" s="62"/>
      <c r="AB35" s="62"/>
      <c r="AC35" s="62"/>
      <c r="AD35" s="62"/>
      <c r="AE35" s="62"/>
      <c r="AF35" s="62"/>
      <c r="AG35" s="62"/>
      <c r="AH35" s="60"/>
      <c r="AI35" s="84"/>
    </row>
    <row r="36" spans="1:35" ht="18">
      <c r="A36" s="52" t="s">
        <v>27</v>
      </c>
      <c r="B36" s="61"/>
      <c r="C36" s="62"/>
      <c r="D36" s="62"/>
      <c r="E36" s="62"/>
      <c r="F36" s="62"/>
      <c r="G36" s="62"/>
      <c r="H36" s="75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1"/>
      <c r="U36" s="61"/>
      <c r="V36" s="61"/>
      <c r="W36" s="61"/>
      <c r="X36" s="61"/>
      <c r="Y36" s="61"/>
      <c r="Z36" s="62"/>
      <c r="AA36" s="62"/>
      <c r="AB36" s="62"/>
      <c r="AC36" s="62"/>
      <c r="AD36" s="62"/>
      <c r="AE36" s="62"/>
      <c r="AF36" s="62"/>
      <c r="AG36" s="62"/>
      <c r="AH36" s="60"/>
      <c r="AI36" s="84"/>
    </row>
    <row r="37" spans="1:35" ht="52.2">
      <c r="A37" s="65" t="s">
        <v>37</v>
      </c>
      <c r="B37" s="83" t="s">
        <v>36</v>
      </c>
      <c r="C37" s="62"/>
      <c r="D37" s="62"/>
      <c r="E37" s="62"/>
      <c r="F37" s="62"/>
      <c r="G37" s="62"/>
      <c r="H37" s="75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1"/>
      <c r="U37" s="61"/>
      <c r="V37" s="61"/>
      <c r="W37" s="61"/>
      <c r="X37" s="61"/>
      <c r="Y37" s="61"/>
      <c r="Z37" s="62"/>
      <c r="AA37" s="62"/>
      <c r="AB37" s="62"/>
      <c r="AC37" s="62"/>
      <c r="AD37" s="62"/>
      <c r="AE37" s="62"/>
      <c r="AF37" s="62"/>
      <c r="AG37" s="62"/>
      <c r="AH37" s="60"/>
      <c r="AI37" s="84"/>
    </row>
    <row r="38" spans="1:35" ht="18">
      <c r="A38" s="52" t="s">
        <v>32</v>
      </c>
      <c r="B38" s="53" t="s">
        <v>30</v>
      </c>
      <c r="C38" s="62"/>
      <c r="D38" s="62"/>
      <c r="E38" s="62"/>
      <c r="F38" s="62"/>
      <c r="G38" s="62"/>
      <c r="H38" s="75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1"/>
      <c r="U38" s="61"/>
      <c r="V38" s="61"/>
      <c r="W38" s="61"/>
      <c r="X38" s="61"/>
      <c r="Y38" s="61"/>
      <c r="Z38" s="62"/>
      <c r="AA38" s="62"/>
      <c r="AB38" s="62"/>
      <c r="AC38" s="62"/>
      <c r="AD38" s="62"/>
      <c r="AE38" s="62"/>
      <c r="AF38" s="62"/>
      <c r="AG38" s="62"/>
      <c r="AH38" s="60"/>
      <c r="AI38" s="84"/>
    </row>
    <row r="39" spans="1:35" ht="18">
      <c r="A39" s="52" t="s">
        <v>33</v>
      </c>
      <c r="B39" s="53" t="s">
        <v>31</v>
      </c>
      <c r="C39" s="62"/>
      <c r="D39" s="62"/>
      <c r="E39" s="62"/>
      <c r="F39" s="62"/>
      <c r="G39" s="62"/>
      <c r="H39" s="75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1"/>
      <c r="U39" s="61"/>
      <c r="V39" s="61"/>
      <c r="W39" s="61"/>
      <c r="X39" s="61"/>
      <c r="Y39" s="61"/>
      <c r="Z39" s="62"/>
      <c r="AA39" s="62"/>
      <c r="AB39" s="62"/>
      <c r="AC39" s="62"/>
      <c r="AD39" s="62"/>
      <c r="AE39" s="62"/>
      <c r="AF39" s="62"/>
      <c r="AG39" s="62"/>
      <c r="AH39" s="60"/>
      <c r="AI39" s="84"/>
    </row>
    <row r="40" spans="1:35" ht="18">
      <c r="A40" s="52" t="s">
        <v>27</v>
      </c>
      <c r="B40" s="61"/>
      <c r="C40" s="62"/>
      <c r="D40" s="62"/>
      <c r="E40" s="62"/>
      <c r="F40" s="62"/>
      <c r="G40" s="62"/>
      <c r="H40" s="75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1"/>
      <c r="U40" s="61"/>
      <c r="V40" s="61"/>
      <c r="W40" s="61"/>
      <c r="X40" s="61"/>
      <c r="Y40" s="61"/>
      <c r="Z40" s="62"/>
      <c r="AA40" s="62"/>
      <c r="AB40" s="62"/>
      <c r="AC40" s="62"/>
      <c r="AD40" s="62"/>
      <c r="AE40" s="62"/>
      <c r="AF40" s="62"/>
      <c r="AG40" s="62"/>
      <c r="AH40" s="60"/>
      <c r="AI40" s="84"/>
    </row>
    <row r="41" spans="1:35" ht="28.95" customHeight="1">
      <c r="A41" s="65" t="s">
        <v>38</v>
      </c>
      <c r="B41" s="83" t="s">
        <v>39</v>
      </c>
      <c r="C41" s="62"/>
      <c r="D41" s="62"/>
      <c r="E41" s="62"/>
      <c r="F41" s="62"/>
      <c r="G41" s="67"/>
      <c r="H41" s="76"/>
      <c r="I41" s="67"/>
      <c r="J41" s="62"/>
      <c r="K41" s="62"/>
      <c r="L41" s="62"/>
      <c r="M41" s="62"/>
      <c r="N41" s="62"/>
      <c r="O41" s="67">
        <f>O42</f>
        <v>135</v>
      </c>
      <c r="P41" s="67"/>
      <c r="Q41" s="67"/>
      <c r="R41" s="67"/>
      <c r="S41" s="67"/>
      <c r="T41" s="62"/>
      <c r="U41" s="62"/>
      <c r="V41" s="62"/>
      <c r="W41" s="62"/>
      <c r="X41" s="62"/>
      <c r="Y41" s="62"/>
      <c r="Z41" s="67"/>
      <c r="AA41" s="67"/>
      <c r="AB41" s="67"/>
      <c r="AC41" s="67"/>
      <c r="AD41" s="67">
        <f>AD42</f>
        <v>20</v>
      </c>
      <c r="AE41" s="67">
        <f t="shared" ref="AE41:AI41" si="9">AE42</f>
        <v>25</v>
      </c>
      <c r="AF41" s="67">
        <f t="shared" si="9"/>
        <v>30</v>
      </c>
      <c r="AG41" s="67">
        <f t="shared" si="9"/>
        <v>30</v>
      </c>
      <c r="AH41" s="67">
        <f t="shared" si="9"/>
        <v>30</v>
      </c>
      <c r="AI41" s="67">
        <f t="shared" si="9"/>
        <v>135</v>
      </c>
    </row>
    <row r="42" spans="1:35" ht="31.95" customHeight="1">
      <c r="A42" s="52" t="s">
        <v>41</v>
      </c>
      <c r="B42" s="53" t="s">
        <v>40</v>
      </c>
      <c r="C42" s="62"/>
      <c r="D42" s="62"/>
      <c r="E42" s="62"/>
      <c r="F42" s="62"/>
      <c r="G42" s="62"/>
      <c r="H42" s="75"/>
      <c r="I42" s="62"/>
      <c r="J42" s="62"/>
      <c r="K42" s="62"/>
      <c r="L42" s="62"/>
      <c r="M42" s="62"/>
      <c r="N42" s="62"/>
      <c r="O42" s="62">
        <v>135</v>
      </c>
      <c r="P42" s="62"/>
      <c r="Q42" s="60"/>
      <c r="R42" s="60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96">
        <v>20</v>
      </c>
      <c r="AE42" s="96">
        <v>25</v>
      </c>
      <c r="AF42" s="96">
        <v>30</v>
      </c>
      <c r="AG42" s="96">
        <v>30</v>
      </c>
      <c r="AH42" s="96">
        <v>30</v>
      </c>
      <c r="AI42" s="51">
        <f>SUM(AD42:AH42)</f>
        <v>135</v>
      </c>
    </row>
    <row r="43" spans="1:35" ht="18">
      <c r="A43" s="52" t="s">
        <v>27</v>
      </c>
      <c r="B43" s="61"/>
      <c r="C43" s="62"/>
      <c r="D43" s="62"/>
      <c r="E43" s="62"/>
      <c r="F43" s="62"/>
      <c r="G43" s="62"/>
      <c r="H43" s="75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1"/>
      <c r="U43" s="61"/>
      <c r="V43" s="61"/>
      <c r="W43" s="61"/>
      <c r="X43" s="61"/>
      <c r="Y43" s="61"/>
      <c r="Z43" s="62"/>
      <c r="AA43" s="62"/>
      <c r="AB43" s="62"/>
      <c r="AC43" s="62"/>
      <c r="AD43" s="62"/>
      <c r="AE43" s="62"/>
      <c r="AF43" s="62"/>
      <c r="AG43" s="62"/>
      <c r="AH43" s="60"/>
      <c r="AI43" s="84"/>
    </row>
    <row r="44" spans="1:35" ht="34.950000000000003" customHeight="1">
      <c r="A44" s="65" t="s">
        <v>33</v>
      </c>
      <c r="B44" s="83" t="s">
        <v>42</v>
      </c>
      <c r="C44" s="62"/>
      <c r="D44" s="67"/>
      <c r="E44" s="67"/>
      <c r="F44" s="67"/>
      <c r="G44" s="67"/>
      <c r="H44" s="76"/>
      <c r="I44" s="67"/>
      <c r="J44" s="67"/>
      <c r="K44" s="67"/>
      <c r="L44" s="67"/>
      <c r="M44" s="67"/>
      <c r="N44" s="67"/>
      <c r="O44" s="67">
        <f>O45</f>
        <v>1276.4777505873221</v>
      </c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>
        <f>AD45</f>
        <v>318.90178850350003</v>
      </c>
      <c r="AE44" s="67">
        <f t="shared" ref="AE44:AI44" si="10">AE45</f>
        <v>194.49912545441404</v>
      </c>
      <c r="AF44" s="67">
        <f t="shared" si="10"/>
        <v>187.69592623842726</v>
      </c>
      <c r="AG44" s="67">
        <f t="shared" si="10"/>
        <v>206.23899324203936</v>
      </c>
      <c r="AH44" s="67">
        <f t="shared" si="10"/>
        <v>369.14194603385391</v>
      </c>
      <c r="AI44" s="67">
        <f t="shared" si="10"/>
        <v>1276.4777794722345</v>
      </c>
    </row>
    <row r="45" spans="1:35" ht="52.95" customHeight="1">
      <c r="A45" s="65" t="s">
        <v>43</v>
      </c>
      <c r="B45" s="83" t="s">
        <v>9</v>
      </c>
      <c r="C45" s="62"/>
      <c r="D45" s="62"/>
      <c r="E45" s="62"/>
      <c r="F45" s="62"/>
      <c r="G45" s="62"/>
      <c r="H45" s="75"/>
      <c r="I45" s="62"/>
      <c r="J45" s="62"/>
      <c r="K45" s="62"/>
      <c r="L45" s="62"/>
      <c r="M45" s="62"/>
      <c r="N45" s="62"/>
      <c r="O45" s="67">
        <f>SUM(O46:O62)</f>
        <v>1276.4777505873221</v>
      </c>
      <c r="P45" s="67"/>
      <c r="Q45" s="67"/>
      <c r="R45" s="67"/>
      <c r="S45" s="67"/>
      <c r="T45" s="62"/>
      <c r="U45" s="62"/>
      <c r="V45" s="62"/>
      <c r="W45" s="62"/>
      <c r="X45" s="62"/>
      <c r="Y45" s="62"/>
      <c r="Z45" s="67"/>
      <c r="AA45" s="67"/>
      <c r="AB45" s="67"/>
      <c r="AC45" s="67"/>
      <c r="AD45" s="67">
        <f>SUM(AD46:AD63)</f>
        <v>318.90178850350003</v>
      </c>
      <c r="AE45" s="67">
        <f t="shared" ref="AE45:AH45" si="11">SUM(AE46:AE63)</f>
        <v>194.49912545441404</v>
      </c>
      <c r="AF45" s="67">
        <f t="shared" si="11"/>
        <v>187.69592623842726</v>
      </c>
      <c r="AG45" s="67">
        <f t="shared" si="11"/>
        <v>206.23899324203936</v>
      </c>
      <c r="AH45" s="67">
        <f t="shared" si="11"/>
        <v>369.14194603385391</v>
      </c>
      <c r="AI45" s="67">
        <f>SUM(AI46:AI63)</f>
        <v>1276.4777794722345</v>
      </c>
    </row>
    <row r="46" spans="1:35" ht="92.25" customHeight="1">
      <c r="A46" s="52" t="s">
        <v>44</v>
      </c>
      <c r="B46" s="53" t="s">
        <v>153</v>
      </c>
      <c r="C46" s="60"/>
      <c r="D46" s="62"/>
      <c r="E46" s="62"/>
      <c r="F46" s="62"/>
      <c r="G46" s="62"/>
      <c r="H46" s="75"/>
      <c r="I46" s="62"/>
      <c r="J46" s="62"/>
      <c r="K46" s="62"/>
      <c r="L46" s="62"/>
      <c r="M46" s="62"/>
      <c r="N46" s="62"/>
      <c r="O46" s="62">
        <v>54.564250356640002</v>
      </c>
      <c r="P46" s="60"/>
      <c r="Q46" s="60"/>
      <c r="R46" s="60"/>
      <c r="S46" s="60"/>
      <c r="T46" s="61"/>
      <c r="U46" s="61"/>
      <c r="V46" s="61"/>
      <c r="W46" s="61"/>
      <c r="X46" s="61"/>
      <c r="Y46" s="61"/>
      <c r="Z46" s="62"/>
      <c r="AA46" s="62"/>
      <c r="AB46" s="62"/>
      <c r="AC46" s="62"/>
      <c r="AD46" s="96">
        <v>10</v>
      </c>
      <c r="AE46" s="96">
        <f>AD46*1.044</f>
        <v>10.440000000000001</v>
      </c>
      <c r="AF46" s="96">
        <f>AE46*1.044</f>
        <v>10.899360000000001</v>
      </c>
      <c r="AG46" s="96">
        <f>AF46*1.043</f>
        <v>11.36803248</v>
      </c>
      <c r="AH46" s="96">
        <f>AG46*1.043</f>
        <v>11.856857876639999</v>
      </c>
      <c r="AI46" s="84">
        <f>SUM(AD46:AH46)</f>
        <v>54.564250356640002</v>
      </c>
    </row>
    <row r="47" spans="1:35" s="25" customFormat="1" ht="88.5" customHeight="1">
      <c r="A47" s="52" t="s">
        <v>46</v>
      </c>
      <c r="B47" s="53" t="s">
        <v>45</v>
      </c>
      <c r="C47" s="60"/>
      <c r="D47" s="60"/>
      <c r="E47" s="60"/>
      <c r="F47" s="60"/>
      <c r="G47" s="60"/>
      <c r="H47" s="77"/>
      <c r="I47" s="60"/>
      <c r="J47" s="60"/>
      <c r="K47" s="60"/>
      <c r="L47" s="60"/>
      <c r="M47" s="60"/>
      <c r="N47" s="60"/>
      <c r="O47" s="60">
        <f>AI47</f>
        <v>134.5005745</v>
      </c>
      <c r="P47" s="60"/>
      <c r="Q47" s="60"/>
      <c r="R47" s="60"/>
      <c r="S47" s="60"/>
      <c r="T47" s="61" t="s">
        <v>222</v>
      </c>
      <c r="U47" s="61"/>
      <c r="V47" s="61"/>
      <c r="W47" s="61"/>
      <c r="X47" s="61"/>
      <c r="Y47" s="61" t="str">
        <f>T47</f>
        <v>32 МВА
 2-х цепная ВЛ 3,2 км</v>
      </c>
      <c r="Z47" s="60"/>
      <c r="AA47" s="60"/>
      <c r="AB47" s="60"/>
      <c r="AC47" s="60"/>
      <c r="AD47" s="81">
        <f>124.04837+10.4522045</f>
        <v>134.5005745</v>
      </c>
      <c r="AE47" s="81"/>
      <c r="AF47" s="81"/>
      <c r="AG47" s="81"/>
      <c r="AH47" s="81"/>
      <c r="AI47" s="84">
        <f t="shared" ref="AI47:AI58" si="12">SUM(AD47:AH47)</f>
        <v>134.5005745</v>
      </c>
    </row>
    <row r="48" spans="1:35" s="25" customFormat="1" ht="102.75" customHeight="1">
      <c r="A48" s="52" t="s">
        <v>154</v>
      </c>
      <c r="B48" s="57" t="s">
        <v>51</v>
      </c>
      <c r="C48" s="60"/>
      <c r="D48" s="60"/>
      <c r="E48" s="60"/>
      <c r="F48" s="60"/>
      <c r="G48" s="60"/>
      <c r="H48" s="77"/>
      <c r="I48" s="60"/>
      <c r="J48" s="60"/>
      <c r="K48" s="60"/>
      <c r="L48" s="60"/>
      <c r="M48" s="60"/>
      <c r="N48" s="60"/>
      <c r="O48" s="56">
        <v>21.970736835024002</v>
      </c>
      <c r="P48" s="60"/>
      <c r="Q48" s="60"/>
      <c r="R48" s="60"/>
      <c r="S48" s="60"/>
      <c r="T48" s="61" t="s">
        <v>179</v>
      </c>
      <c r="U48" s="61" t="s">
        <v>79</v>
      </c>
      <c r="V48" s="61"/>
      <c r="W48" s="61"/>
      <c r="X48" s="61"/>
      <c r="Y48" s="61" t="s">
        <v>178</v>
      </c>
      <c r="Z48" s="60"/>
      <c r="AA48" s="60"/>
      <c r="AB48" s="60"/>
      <c r="AC48" s="60"/>
      <c r="AD48" s="81">
        <f>(2.078*1.217)*1+((0.591+2.133+0.611)*1.193*1+48.117*1.193*0.01)*1.3*2</f>
        <v>14.365922106000003</v>
      </c>
      <c r="AE48" s="96">
        <f>((0.591+2.133+0.611)*1.193*1+48.117*1.193*0.01)*(0.2+1.4)*1.044</f>
        <v>7.6048147290240005</v>
      </c>
      <c r="AF48" s="81"/>
      <c r="AG48" s="81"/>
      <c r="AH48" s="81"/>
      <c r="AI48" s="84">
        <f t="shared" si="12"/>
        <v>21.970736835024002</v>
      </c>
    </row>
    <row r="49" spans="1:35" s="25" customFormat="1" ht="142.5" customHeight="1">
      <c r="A49" s="52" t="s">
        <v>47</v>
      </c>
      <c r="B49" s="57" t="s">
        <v>150</v>
      </c>
      <c r="C49" s="60"/>
      <c r="D49" s="60"/>
      <c r="E49" s="60"/>
      <c r="F49" s="60"/>
      <c r="G49" s="60"/>
      <c r="H49" s="77"/>
      <c r="I49" s="60"/>
      <c r="J49" s="60"/>
      <c r="K49" s="60"/>
      <c r="L49" s="60"/>
      <c r="M49" s="60"/>
      <c r="N49" s="60"/>
      <c r="O49" s="56">
        <v>143.5964501454379</v>
      </c>
      <c r="P49" s="60"/>
      <c r="Q49" s="60"/>
      <c r="R49" s="60"/>
      <c r="S49" s="60"/>
      <c r="T49" s="61"/>
      <c r="U49" s="61"/>
      <c r="V49" s="61"/>
      <c r="W49" s="61" t="s">
        <v>229</v>
      </c>
      <c r="X49" s="61" t="s">
        <v>230</v>
      </c>
      <c r="Y49" s="61"/>
      <c r="Z49" s="60"/>
      <c r="AA49" s="60"/>
      <c r="AB49" s="60"/>
      <c r="AC49" s="60"/>
      <c r="AD49" s="94"/>
      <c r="AE49" s="94"/>
      <c r="AF49" s="94"/>
      <c r="AG49" s="94">
        <v>2.2999999999999998</v>
      </c>
      <c r="AH49" s="94">
        <f>1.7+2.951+((9.953/6.3*4*2)+(8.863*8.9+0.357*8.9))*1.217*1.044*1.044*1.043*1.043</f>
        <v>141.29645014543789</v>
      </c>
      <c r="AI49" s="84">
        <f t="shared" si="12"/>
        <v>143.5964501454379</v>
      </c>
    </row>
    <row r="50" spans="1:35" s="25" customFormat="1" ht="78.75" customHeight="1">
      <c r="A50" s="52" t="s">
        <v>48</v>
      </c>
      <c r="B50" s="53" t="s">
        <v>52</v>
      </c>
      <c r="C50" s="60"/>
      <c r="D50" s="60"/>
      <c r="E50" s="60"/>
      <c r="F50" s="60"/>
      <c r="G50" s="60"/>
      <c r="H50" s="77"/>
      <c r="I50" s="60"/>
      <c r="J50" s="60"/>
      <c r="K50" s="60"/>
      <c r="L50" s="60"/>
      <c r="M50" s="60"/>
      <c r="N50" s="60"/>
      <c r="O50" s="60">
        <v>93.06658962937</v>
      </c>
      <c r="P50" s="60"/>
      <c r="Q50" s="60"/>
      <c r="R50" s="60"/>
      <c r="S50" s="60"/>
      <c r="T50" s="61" t="s">
        <v>173</v>
      </c>
      <c r="U50" s="61" t="s">
        <v>174</v>
      </c>
      <c r="V50" s="61" t="s">
        <v>175</v>
      </c>
      <c r="W50" s="61" t="s">
        <v>176</v>
      </c>
      <c r="X50" s="60" t="s">
        <v>177</v>
      </c>
      <c r="Y50" s="61" t="s">
        <v>193</v>
      </c>
      <c r="Z50" s="60"/>
      <c r="AA50" s="60"/>
      <c r="AB50" s="60"/>
      <c r="AC50" s="60"/>
      <c r="AD50" s="81">
        <f>17.177*1.217/2+((2.533+0.51)*1.217*0.1+(1.112*1.217)*1+(1.5*0.175*4)+0.001)</f>
        <v>13.2268416</v>
      </c>
      <c r="AE50" s="81">
        <f>(17.177*1.217/2+((0.591+2.25+0.611)*1.193*1+48.117*1.193*0.01)*1.5*2)*1.044</f>
        <v>25.608296806920002</v>
      </c>
      <c r="AF50" s="81">
        <f>2.5*8*1.044*1.044</f>
        <v>21.798720000000003</v>
      </c>
      <c r="AG50" s="81">
        <f>((0.591+2.25+0.611)*1.193*1+48.117*1.193*0.01)*2*2*1.044*1.044*1.043</f>
        <v>21.336759336427356</v>
      </c>
      <c r="AH50" s="81">
        <f>((2.533+0.51)*1.217*0.5+(1.112*1.217)*2+(1.5*0.4*4)*2)*1.044*1.044*1.043*1.043</f>
        <v>11.095971886022639</v>
      </c>
      <c r="AI50" s="84">
        <f t="shared" si="12"/>
        <v>93.06658962937</v>
      </c>
    </row>
    <row r="51" spans="1:35" s="4" customFormat="1" ht="69" customHeight="1">
      <c r="A51" s="52" t="s">
        <v>49</v>
      </c>
      <c r="B51" s="53" t="s">
        <v>155</v>
      </c>
      <c r="C51" s="60"/>
      <c r="D51" s="62"/>
      <c r="E51" s="62"/>
      <c r="F51" s="62"/>
      <c r="G51" s="62"/>
      <c r="H51" s="75"/>
      <c r="I51" s="62"/>
      <c r="J51" s="62"/>
      <c r="K51" s="62"/>
      <c r="L51" s="62"/>
      <c r="M51" s="62"/>
      <c r="N51" s="62"/>
      <c r="O51" s="62">
        <v>22.398458350437139</v>
      </c>
      <c r="P51" s="60"/>
      <c r="Q51" s="60"/>
      <c r="R51" s="60"/>
      <c r="S51" s="60"/>
      <c r="T51" s="61" t="s">
        <v>156</v>
      </c>
      <c r="U51" s="61" t="s">
        <v>156</v>
      </c>
      <c r="V51" s="61" t="s">
        <v>156</v>
      </c>
      <c r="W51" s="61" t="s">
        <v>156</v>
      </c>
      <c r="X51" s="61" t="s">
        <v>156</v>
      </c>
      <c r="Y51" s="61" t="s">
        <v>181</v>
      </c>
      <c r="Z51" s="62"/>
      <c r="AA51" s="62"/>
      <c r="AB51" s="62"/>
      <c r="AC51" s="62"/>
      <c r="AD51" s="94">
        <f>((2.533+0.51)*1.217*0.5+(1.112*1.217)*1+(1.5*0.15*4)*1)*1</f>
        <v>4.104969500000001</v>
      </c>
      <c r="AE51" s="94">
        <f t="shared" ref="AE51:AF56" si="13">AD51*1.044</f>
        <v>4.2855881580000013</v>
      </c>
      <c r="AF51" s="94">
        <f t="shared" si="13"/>
        <v>4.4741540369520019</v>
      </c>
      <c r="AG51" s="81">
        <f t="shared" ref="AG51:AH56" si="14">AF51*1.043</f>
        <v>4.6665426605409372</v>
      </c>
      <c r="AH51" s="94">
        <f t="shared" si="14"/>
        <v>4.8672039949441972</v>
      </c>
      <c r="AI51" s="84">
        <f t="shared" si="12"/>
        <v>22.398458350437139</v>
      </c>
    </row>
    <row r="52" spans="1:35" s="4" customFormat="1" ht="84" customHeight="1">
      <c r="A52" s="52" t="s">
        <v>50</v>
      </c>
      <c r="B52" s="53" t="s">
        <v>54</v>
      </c>
      <c r="C52" s="60"/>
      <c r="D52" s="62"/>
      <c r="E52" s="62"/>
      <c r="F52" s="62"/>
      <c r="G52" s="62"/>
      <c r="H52" s="75"/>
      <c r="I52" s="62"/>
      <c r="J52" s="62"/>
      <c r="K52" s="62"/>
      <c r="L52" s="62"/>
      <c r="M52" s="62"/>
      <c r="N52" s="62"/>
      <c r="O52" s="62">
        <v>49.077881551665286</v>
      </c>
      <c r="P52" s="60"/>
      <c r="Q52" s="60"/>
      <c r="R52" s="60"/>
      <c r="S52" s="60"/>
      <c r="T52" s="61" t="s">
        <v>157</v>
      </c>
      <c r="U52" s="61" t="s">
        <v>157</v>
      </c>
      <c r="V52" s="61" t="s">
        <v>157</v>
      </c>
      <c r="W52" s="61" t="s">
        <v>157</v>
      </c>
      <c r="X52" s="61" t="s">
        <v>157</v>
      </c>
      <c r="Y52" s="61" t="s">
        <v>168</v>
      </c>
      <c r="Z52" s="62"/>
      <c r="AA52" s="62"/>
      <c r="AB52" s="62"/>
      <c r="AC52" s="62"/>
      <c r="AD52" s="94">
        <f>(2.533+0.51)*1.217*0.2+(1.419*1.217)*2+(1.5*0.4*4)*2</f>
        <v>8.9945122000000008</v>
      </c>
      <c r="AE52" s="94">
        <f t="shared" si="13"/>
        <v>9.3902707368000016</v>
      </c>
      <c r="AF52" s="94">
        <f t="shared" si="13"/>
        <v>9.8034426492192015</v>
      </c>
      <c r="AG52" s="81">
        <f t="shared" si="14"/>
        <v>10.224990683135626</v>
      </c>
      <c r="AH52" s="94">
        <f t="shared" si="14"/>
        <v>10.664665282510457</v>
      </c>
      <c r="AI52" s="84">
        <f t="shared" si="12"/>
        <v>49.077881551665286</v>
      </c>
    </row>
    <row r="53" spans="1:35" ht="74.25" customHeight="1">
      <c r="A53" s="52" t="s">
        <v>53</v>
      </c>
      <c r="B53" s="53" t="s">
        <v>137</v>
      </c>
      <c r="C53" s="60"/>
      <c r="D53" s="60"/>
      <c r="E53" s="62"/>
      <c r="F53" s="62"/>
      <c r="G53" s="62"/>
      <c r="H53" s="75"/>
      <c r="I53" s="62"/>
      <c r="J53" s="62"/>
      <c r="K53" s="62"/>
      <c r="L53" s="62"/>
      <c r="M53" s="60"/>
      <c r="N53" s="62"/>
      <c r="O53" s="62">
        <v>45.000633420865789</v>
      </c>
      <c r="P53" s="62"/>
      <c r="Q53" s="62"/>
      <c r="R53" s="62"/>
      <c r="S53" s="62"/>
      <c r="T53" s="61" t="s">
        <v>152</v>
      </c>
      <c r="U53" s="61" t="s">
        <v>152</v>
      </c>
      <c r="V53" s="61" t="s">
        <v>152</v>
      </c>
      <c r="W53" s="61" t="s">
        <v>152</v>
      </c>
      <c r="X53" s="61" t="s">
        <v>152</v>
      </c>
      <c r="Y53" s="61" t="s">
        <v>169</v>
      </c>
      <c r="Z53" s="62"/>
      <c r="AA53" s="62"/>
      <c r="AB53" s="74"/>
      <c r="AC53" s="62"/>
      <c r="AD53" s="94">
        <f>(2.533+0.51)*1.217*0.2+(1.112*1.217)*2+(1.5*0.4*4)*2</f>
        <v>8.2472742000000014</v>
      </c>
      <c r="AE53" s="94">
        <f t="shared" si="13"/>
        <v>8.610154264800002</v>
      </c>
      <c r="AF53" s="94">
        <f t="shared" si="13"/>
        <v>8.9890010524512025</v>
      </c>
      <c r="AG53" s="81">
        <f t="shared" si="14"/>
        <v>9.3755280977066029</v>
      </c>
      <c r="AH53" s="94">
        <f t="shared" si="14"/>
        <v>9.7786758059079855</v>
      </c>
      <c r="AI53" s="84">
        <f t="shared" si="12"/>
        <v>45.000633420865789</v>
      </c>
    </row>
    <row r="54" spans="1:35" ht="67.5" customHeight="1">
      <c r="A54" s="52" t="s">
        <v>57</v>
      </c>
      <c r="B54" s="53" t="s">
        <v>55</v>
      </c>
      <c r="C54" s="60"/>
      <c r="D54" s="60"/>
      <c r="E54" s="62"/>
      <c r="F54" s="62"/>
      <c r="G54" s="62"/>
      <c r="H54" s="75"/>
      <c r="I54" s="62"/>
      <c r="J54" s="62"/>
      <c r="K54" s="62"/>
      <c r="L54" s="62"/>
      <c r="M54" s="60"/>
      <c r="N54" s="62"/>
      <c r="O54" s="62">
        <v>45.000633420865789</v>
      </c>
      <c r="P54" s="62"/>
      <c r="Q54" s="62"/>
      <c r="R54" s="62"/>
      <c r="S54" s="62"/>
      <c r="T54" s="61" t="s">
        <v>152</v>
      </c>
      <c r="U54" s="61" t="s">
        <v>152</v>
      </c>
      <c r="V54" s="61" t="s">
        <v>152</v>
      </c>
      <c r="W54" s="61" t="s">
        <v>152</v>
      </c>
      <c r="X54" s="61" t="s">
        <v>152</v>
      </c>
      <c r="Y54" s="61" t="s">
        <v>169</v>
      </c>
      <c r="Z54" s="62"/>
      <c r="AA54" s="62"/>
      <c r="AB54" s="74"/>
      <c r="AC54" s="62"/>
      <c r="AD54" s="94">
        <f>(2.533+0.51)*1.217*0.2+(1.112*1.217)*2+(1.5*0.4*4)*2</f>
        <v>8.2472742000000014</v>
      </c>
      <c r="AE54" s="94">
        <f t="shared" si="13"/>
        <v>8.610154264800002</v>
      </c>
      <c r="AF54" s="94">
        <f t="shared" si="13"/>
        <v>8.9890010524512025</v>
      </c>
      <c r="AG54" s="81">
        <f t="shared" si="14"/>
        <v>9.3755280977066029</v>
      </c>
      <c r="AH54" s="94">
        <f t="shared" si="14"/>
        <v>9.7786758059079855</v>
      </c>
      <c r="AI54" s="84">
        <f t="shared" si="12"/>
        <v>45.000633420865789</v>
      </c>
    </row>
    <row r="55" spans="1:35" ht="65.25" customHeight="1">
      <c r="A55" s="52" t="s">
        <v>58</v>
      </c>
      <c r="B55" s="53" t="s">
        <v>56</v>
      </c>
      <c r="C55" s="60"/>
      <c r="D55" s="60"/>
      <c r="E55" s="62"/>
      <c r="F55" s="62"/>
      <c r="G55" s="62"/>
      <c r="H55" s="75"/>
      <c r="I55" s="62"/>
      <c r="J55" s="62"/>
      <c r="K55" s="62"/>
      <c r="L55" s="62"/>
      <c r="M55" s="60"/>
      <c r="N55" s="62"/>
      <c r="O55" s="62">
        <v>33.856950925331539</v>
      </c>
      <c r="P55" s="62"/>
      <c r="Q55" s="62"/>
      <c r="R55" s="62"/>
      <c r="S55" s="62"/>
      <c r="T55" s="61" t="s">
        <v>158</v>
      </c>
      <c r="U55" s="61" t="s">
        <v>158</v>
      </c>
      <c r="V55" s="61" t="s">
        <v>158</v>
      </c>
      <c r="W55" s="61" t="s">
        <v>158</v>
      </c>
      <c r="X55" s="61" t="s">
        <v>158</v>
      </c>
      <c r="Y55" s="61" t="s">
        <v>172</v>
      </c>
      <c r="Z55" s="62"/>
      <c r="AA55" s="62"/>
      <c r="AB55" s="62"/>
      <c r="AC55" s="62"/>
      <c r="AD55" s="94">
        <f>(2.533+0.51)*1.217*0.5+(1.112*1.217)*1+(1.5*0.5*4)*1</f>
        <v>6.2049695000000007</v>
      </c>
      <c r="AE55" s="94">
        <f t="shared" si="13"/>
        <v>6.4779881580000014</v>
      </c>
      <c r="AF55" s="94">
        <f t="shared" si="13"/>
        <v>6.7630196369520013</v>
      </c>
      <c r="AG55" s="81">
        <f t="shared" si="14"/>
        <v>7.0538294813409372</v>
      </c>
      <c r="AH55" s="94">
        <f t="shared" si="14"/>
        <v>7.3571441490385974</v>
      </c>
      <c r="AI55" s="84">
        <f t="shared" si="12"/>
        <v>33.856950925331539</v>
      </c>
    </row>
    <row r="56" spans="1:35" ht="57" customHeight="1">
      <c r="A56" s="52" t="s">
        <v>60</v>
      </c>
      <c r="B56" s="53" t="s">
        <v>59</v>
      </c>
      <c r="C56" s="60"/>
      <c r="D56" s="60"/>
      <c r="E56" s="62"/>
      <c r="F56" s="62"/>
      <c r="G56" s="62"/>
      <c r="H56" s="75"/>
      <c r="I56" s="62"/>
      <c r="J56" s="62"/>
      <c r="K56" s="62"/>
      <c r="L56" s="62"/>
      <c r="M56" s="60"/>
      <c r="N56" s="62"/>
      <c r="O56" s="62">
        <v>59.079170398249445</v>
      </c>
      <c r="P56" s="62"/>
      <c r="Q56" s="62"/>
      <c r="R56" s="62"/>
      <c r="S56" s="62"/>
      <c r="T56" s="61" t="s">
        <v>159</v>
      </c>
      <c r="U56" s="61" t="s">
        <v>159</v>
      </c>
      <c r="V56" s="61" t="s">
        <v>159</v>
      </c>
      <c r="W56" s="61" t="s">
        <v>159</v>
      </c>
      <c r="X56" s="61" t="s">
        <v>159</v>
      </c>
      <c r="Y56" s="61" t="s">
        <v>167</v>
      </c>
      <c r="Z56" s="62"/>
      <c r="AA56" s="62"/>
      <c r="AB56" s="62"/>
      <c r="AC56" s="62"/>
      <c r="AD56" s="94">
        <f>((2.533+0.51)*1.217*0.2+(1.419*1.217)*1+(1.5*0.1*4)*1)*2+((0.591+2.25+0.611)*1.193*1+48.117*1.193*0.01)*1</f>
        <v>10.827450210000002</v>
      </c>
      <c r="AE56" s="94">
        <f t="shared" si="13"/>
        <v>11.303858019240003</v>
      </c>
      <c r="AF56" s="94">
        <f t="shared" si="13"/>
        <v>11.801227772086564</v>
      </c>
      <c r="AG56" s="81">
        <f t="shared" si="14"/>
        <v>12.308680566286286</v>
      </c>
      <c r="AH56" s="94">
        <f t="shared" si="14"/>
        <v>12.837953830636595</v>
      </c>
      <c r="AI56" s="84">
        <f t="shared" si="12"/>
        <v>59.079170398249445</v>
      </c>
    </row>
    <row r="57" spans="1:35" s="4" customFormat="1" ht="76.5" customHeight="1">
      <c r="A57" s="52" t="s">
        <v>61</v>
      </c>
      <c r="B57" s="57" t="s">
        <v>148</v>
      </c>
      <c r="C57" s="60"/>
      <c r="D57" s="60"/>
      <c r="E57" s="62"/>
      <c r="F57" s="62"/>
      <c r="G57" s="62"/>
      <c r="H57" s="75"/>
      <c r="I57" s="62"/>
      <c r="J57" s="62"/>
      <c r="K57" s="62"/>
      <c r="L57" s="62"/>
      <c r="M57" s="60"/>
      <c r="N57" s="62"/>
      <c r="O57" s="62">
        <v>13.766677529732016</v>
      </c>
      <c r="P57" s="62"/>
      <c r="Q57" s="62"/>
      <c r="R57" s="62"/>
      <c r="S57" s="62"/>
      <c r="T57" s="61"/>
      <c r="U57" s="61"/>
      <c r="V57" s="61"/>
      <c r="W57" s="55"/>
      <c r="X57" s="61" t="s">
        <v>77</v>
      </c>
      <c r="Y57" s="61" t="s">
        <v>180</v>
      </c>
      <c r="Z57" s="62"/>
      <c r="AA57" s="62"/>
      <c r="AB57" s="62"/>
      <c r="AC57" s="62"/>
      <c r="AD57" s="94"/>
      <c r="AE57" s="94"/>
      <c r="AF57" s="94"/>
      <c r="AG57" s="94">
        <f>0.611*1.193-0.205</f>
        <v>0.52392300000000003</v>
      </c>
      <c r="AH57" s="94">
        <f>0.206+(1.101*1+2.133*1*2+48.117*0.01*4*2)*1.193*1.044*1.044*1.043*1.043</f>
        <v>13.242754529732016</v>
      </c>
      <c r="AI57" s="84">
        <f t="shared" si="12"/>
        <v>13.766677529732016</v>
      </c>
    </row>
    <row r="58" spans="1:35" s="4" customFormat="1" ht="60" customHeight="1">
      <c r="A58" s="52" t="s">
        <v>62</v>
      </c>
      <c r="B58" s="57" t="s">
        <v>149</v>
      </c>
      <c r="C58" s="60"/>
      <c r="D58" s="60"/>
      <c r="E58" s="62"/>
      <c r="F58" s="62"/>
      <c r="G58" s="62"/>
      <c r="H58" s="75"/>
      <c r="I58" s="62"/>
      <c r="J58" s="62"/>
      <c r="K58" s="62"/>
      <c r="L58" s="62"/>
      <c r="M58" s="60"/>
      <c r="N58" s="62"/>
      <c r="O58" s="62">
        <v>39.498974818868291</v>
      </c>
      <c r="P58" s="62"/>
      <c r="Q58" s="62"/>
      <c r="R58" s="62"/>
      <c r="S58" s="62"/>
      <c r="T58" s="61"/>
      <c r="U58" s="61"/>
      <c r="V58" s="61"/>
      <c r="W58" s="55"/>
      <c r="X58" s="61" t="s">
        <v>160</v>
      </c>
      <c r="Y58" s="61" t="s">
        <v>160</v>
      </c>
      <c r="Z58" s="62"/>
      <c r="AA58" s="62"/>
      <c r="AB58" s="62"/>
      <c r="AC58" s="62"/>
      <c r="AD58" s="94"/>
      <c r="AE58" s="94"/>
      <c r="AF58" s="94"/>
      <c r="AG58" s="94">
        <f>27.716*0.3*1.217*1.044*1.044*1.043</f>
        <v>11.503438933754477</v>
      </c>
      <c r="AH58" s="94">
        <f>27.716*0.7*1.217*1.044*1.044*1.043*1.043</f>
        <v>27.99553588511381</v>
      </c>
      <c r="AI58" s="84">
        <f t="shared" si="12"/>
        <v>39.498974818868291</v>
      </c>
    </row>
    <row r="59" spans="1:35" s="4" customFormat="1" ht="60" customHeight="1">
      <c r="A59" s="52" t="s">
        <v>63</v>
      </c>
      <c r="B59" s="57" t="s">
        <v>197</v>
      </c>
      <c r="C59" s="60"/>
      <c r="D59" s="60"/>
      <c r="E59" s="62"/>
      <c r="F59" s="62"/>
      <c r="G59" s="62"/>
      <c r="H59" s="75"/>
      <c r="I59" s="62"/>
      <c r="J59" s="62"/>
      <c r="K59" s="62"/>
      <c r="L59" s="62"/>
      <c r="M59" s="60"/>
      <c r="N59" s="62"/>
      <c r="O59" s="62">
        <f>AI59</f>
        <v>143.30858618350882</v>
      </c>
      <c r="P59" s="62"/>
      <c r="Q59" s="62"/>
      <c r="R59" s="62"/>
      <c r="S59" s="62"/>
      <c r="T59" s="61"/>
      <c r="U59" s="61"/>
      <c r="V59" s="61"/>
      <c r="W59" s="61" t="s">
        <v>227</v>
      </c>
      <c r="X59" s="61"/>
      <c r="Y59" s="61" t="str">
        <f>W59</f>
        <v>12,6 МВА
2-х цепная ВЛ 0,5 км</v>
      </c>
      <c r="Z59" s="62"/>
      <c r="AA59" s="62"/>
      <c r="AB59" s="62"/>
      <c r="AC59" s="62"/>
      <c r="AD59" s="81">
        <v>4.3068558125000003</v>
      </c>
      <c r="AE59" s="81">
        <f>46.76957771013-21.432</f>
        <v>25.337577710130002</v>
      </c>
      <c r="AF59" s="81">
        <f>82.2362590188338-23.13</f>
        <v>59.106259018833811</v>
      </c>
      <c r="AG59" s="81">
        <f>79.482893642045-24.925</f>
        <v>54.557893642045002</v>
      </c>
      <c r="AH59" s="81"/>
      <c r="AI59" s="84">
        <f>SUM(AD59:AH59)</f>
        <v>143.30858618350882</v>
      </c>
    </row>
    <row r="60" spans="1:35" s="4" customFormat="1" ht="79.95" customHeight="1">
      <c r="A60" s="52" t="s">
        <v>194</v>
      </c>
      <c r="B60" s="57" t="s">
        <v>203</v>
      </c>
      <c r="C60" s="60"/>
      <c r="D60" s="60"/>
      <c r="E60" s="62"/>
      <c r="F60" s="62"/>
      <c r="G60" s="62"/>
      <c r="H60" s="75"/>
      <c r="I60" s="62"/>
      <c r="J60" s="62"/>
      <c r="K60" s="62"/>
      <c r="L60" s="62"/>
      <c r="M60" s="60"/>
      <c r="N60" s="62"/>
      <c r="O60" s="62">
        <f>AI60</f>
        <v>133.22018252132636</v>
      </c>
      <c r="P60" s="62"/>
      <c r="Q60" s="62"/>
      <c r="R60" s="62"/>
      <c r="S60" s="62"/>
      <c r="T60" s="61" t="s">
        <v>217</v>
      </c>
      <c r="U60" s="61" t="s">
        <v>204</v>
      </c>
      <c r="V60" s="61" t="s">
        <v>205</v>
      </c>
      <c r="W60" s="61" t="s">
        <v>206</v>
      </c>
      <c r="X60" s="61" t="s">
        <v>218</v>
      </c>
      <c r="Y60" s="61" t="s">
        <v>219</v>
      </c>
      <c r="Z60" s="62"/>
      <c r="AA60" s="62"/>
      <c r="AB60" s="62"/>
      <c r="AC60" s="62"/>
      <c r="AD60" s="81">
        <f>65.404349125-19.818</f>
        <v>45.586349124999998</v>
      </c>
      <c r="AE60" s="81">
        <v>24.267128152499996</v>
      </c>
      <c r="AF60" s="81">
        <v>6.4267428545532006</v>
      </c>
      <c r="AG60" s="81">
        <v>21.005367445684087</v>
      </c>
      <c r="AH60" s="81">
        <f>62.6255949435891-26.691</f>
        <v>35.934594943589104</v>
      </c>
      <c r="AI60" s="84">
        <f>SUM(AD60:AH60)</f>
        <v>133.22018252132636</v>
      </c>
    </row>
    <row r="61" spans="1:35" s="4" customFormat="1" ht="90" customHeight="1">
      <c r="A61" s="52" t="s">
        <v>195</v>
      </c>
      <c r="B61" s="57" t="s">
        <v>199</v>
      </c>
      <c r="C61" s="60"/>
      <c r="D61" s="60"/>
      <c r="E61" s="62"/>
      <c r="F61" s="62"/>
      <c r="G61" s="62"/>
      <c r="H61" s="75"/>
      <c r="I61" s="62"/>
      <c r="J61" s="62"/>
      <c r="K61" s="62"/>
      <c r="L61" s="62"/>
      <c r="M61" s="60"/>
      <c r="N61" s="62"/>
      <c r="O61" s="62">
        <v>160.50399999999999</v>
      </c>
      <c r="P61" s="62"/>
      <c r="Q61" s="62"/>
      <c r="R61" s="62"/>
      <c r="S61" s="62"/>
      <c r="T61" s="61"/>
      <c r="U61" s="61" t="s">
        <v>198</v>
      </c>
      <c r="V61" s="61" t="s">
        <v>200</v>
      </c>
      <c r="W61" s="61" t="s">
        <v>201</v>
      </c>
      <c r="X61" s="61" t="s">
        <v>200</v>
      </c>
      <c r="Y61" s="61" t="s">
        <v>202</v>
      </c>
      <c r="Z61" s="62"/>
      <c r="AA61" s="62"/>
      <c r="AB61" s="62"/>
      <c r="AC61" s="62"/>
      <c r="AD61" s="81">
        <v>39.01664555</v>
      </c>
      <c r="AE61" s="81">
        <v>32.613537454199999</v>
      </c>
      <c r="AF61" s="81">
        <v>25.40143559692811</v>
      </c>
      <c r="AG61" s="81">
        <v>14.75631651403544</v>
      </c>
      <c r="AH61" s="81">
        <v>48.715925082593152</v>
      </c>
      <c r="AI61" s="62">
        <f>AD61+AE61+AF61+AG61+AH61</f>
        <v>160.50386019775669</v>
      </c>
    </row>
    <row r="62" spans="1:35" s="4" customFormat="1" ht="90" customHeight="1">
      <c r="A62" s="52" t="s">
        <v>196</v>
      </c>
      <c r="B62" s="57" t="s">
        <v>213</v>
      </c>
      <c r="C62" s="60"/>
      <c r="D62" s="60"/>
      <c r="E62" s="62"/>
      <c r="F62" s="62"/>
      <c r="G62" s="62"/>
      <c r="H62" s="75"/>
      <c r="I62" s="62"/>
      <c r="J62" s="62"/>
      <c r="K62" s="62"/>
      <c r="L62" s="62"/>
      <c r="M62" s="60"/>
      <c r="N62" s="62"/>
      <c r="O62" s="62">
        <v>84.066999999999993</v>
      </c>
      <c r="P62" s="62"/>
      <c r="Q62" s="62"/>
      <c r="R62" s="62"/>
      <c r="S62" s="62"/>
      <c r="T62" s="61" t="s">
        <v>208</v>
      </c>
      <c r="U62" s="61" t="s">
        <v>207</v>
      </c>
      <c r="V62" s="61" t="s">
        <v>210</v>
      </c>
      <c r="W62" s="61" t="s">
        <v>209</v>
      </c>
      <c r="X62" s="61" t="s">
        <v>211</v>
      </c>
      <c r="Y62" s="61" t="s">
        <v>212</v>
      </c>
      <c r="Z62" s="62"/>
      <c r="AA62" s="62"/>
      <c r="AB62" s="62"/>
      <c r="AC62" s="62"/>
      <c r="AD62" s="81">
        <v>11.27215</v>
      </c>
      <c r="AE62" s="81">
        <v>19.949757000000002</v>
      </c>
      <c r="AF62" s="81">
        <v>13.243562568000002</v>
      </c>
      <c r="AG62" s="81">
        <v>15.882162303376001</v>
      </c>
      <c r="AH62" s="81">
        <v>23.71953681577947</v>
      </c>
      <c r="AI62" s="62">
        <f>AD62+AE62+AF62+AG62+AH62</f>
        <v>84.067168687155473</v>
      </c>
    </row>
    <row r="63" spans="1:35" ht="18">
      <c r="A63" s="52" t="s">
        <v>27</v>
      </c>
      <c r="B63" s="61"/>
      <c r="C63" s="62"/>
      <c r="D63" s="62"/>
      <c r="E63" s="62"/>
      <c r="F63" s="62"/>
      <c r="G63" s="62"/>
      <c r="H63" s="75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84"/>
      <c r="Y63" s="84"/>
      <c r="Z63" s="84"/>
      <c r="AA63" s="84"/>
      <c r="AB63" s="74"/>
      <c r="AC63" s="84"/>
      <c r="AD63" s="84"/>
      <c r="AE63" s="84"/>
      <c r="AF63" s="84"/>
      <c r="AG63" s="84"/>
      <c r="AH63" s="56"/>
      <c r="AI63" s="84"/>
    </row>
    <row r="64" spans="1:35" ht="18">
      <c r="A64" s="70" t="s">
        <v>64</v>
      </c>
      <c r="B64" s="83" t="s">
        <v>65</v>
      </c>
      <c r="C64" s="62"/>
      <c r="D64" s="62"/>
      <c r="E64" s="62"/>
      <c r="F64" s="62"/>
      <c r="G64" s="62"/>
      <c r="H64" s="75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84"/>
      <c r="Y64" s="84"/>
      <c r="Z64" s="84"/>
      <c r="AA64" s="84"/>
      <c r="AB64" s="74"/>
      <c r="AC64" s="84"/>
      <c r="AD64" s="84"/>
      <c r="AE64" s="84"/>
      <c r="AF64" s="84"/>
      <c r="AG64" s="84"/>
      <c r="AH64" s="56"/>
      <c r="AI64" s="84"/>
    </row>
    <row r="65" spans="1:219" ht="18">
      <c r="A65" s="69" t="s">
        <v>32</v>
      </c>
      <c r="B65" s="53" t="s">
        <v>30</v>
      </c>
      <c r="C65" s="62"/>
      <c r="D65" s="62"/>
      <c r="E65" s="62"/>
      <c r="F65" s="62"/>
      <c r="G65" s="62"/>
      <c r="H65" s="75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84"/>
      <c r="Y65" s="84"/>
      <c r="Z65" s="84"/>
      <c r="AA65" s="84"/>
      <c r="AB65" s="84"/>
      <c r="AC65" s="84"/>
      <c r="AD65" s="84"/>
      <c r="AE65" s="84"/>
      <c r="AF65" s="84"/>
      <c r="AG65" s="84"/>
      <c r="AH65" s="56"/>
      <c r="AI65" s="84"/>
    </row>
    <row r="66" spans="1:219" ht="18">
      <c r="A66" s="69"/>
      <c r="B66" s="53" t="s">
        <v>66</v>
      </c>
      <c r="C66" s="62"/>
      <c r="D66" s="62"/>
      <c r="E66" s="62"/>
      <c r="F66" s="62"/>
      <c r="G66" s="62"/>
      <c r="H66" s="75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84"/>
      <c r="Y66" s="84"/>
      <c r="Z66" s="84"/>
      <c r="AA66" s="84"/>
      <c r="AB66" s="84"/>
      <c r="AC66" s="84"/>
      <c r="AD66" s="84"/>
      <c r="AE66" s="84"/>
      <c r="AF66" s="84"/>
      <c r="AG66" s="84"/>
      <c r="AH66" s="56"/>
      <c r="AI66" s="84"/>
    </row>
    <row r="67" spans="1:219" ht="18">
      <c r="A67" s="69" t="s">
        <v>33</v>
      </c>
      <c r="B67" s="53" t="s">
        <v>31</v>
      </c>
      <c r="C67" s="62"/>
      <c r="D67" s="62"/>
      <c r="E67" s="62"/>
      <c r="F67" s="62"/>
      <c r="G67" s="62"/>
      <c r="H67" s="75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56"/>
      <c r="AI67" s="84"/>
    </row>
    <row r="68" spans="1:219" ht="18">
      <c r="A68" s="69"/>
      <c r="B68" s="53" t="s">
        <v>66</v>
      </c>
      <c r="C68" s="62"/>
      <c r="D68" s="62"/>
      <c r="E68" s="62"/>
      <c r="F68" s="62"/>
      <c r="G68" s="62"/>
      <c r="H68" s="75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56"/>
      <c r="AI68" s="84"/>
    </row>
    <row r="69" spans="1:219" ht="18">
      <c r="A69" s="52" t="s">
        <v>27</v>
      </c>
      <c r="B69" s="61"/>
      <c r="C69" s="62"/>
      <c r="D69" s="62"/>
      <c r="E69" s="62"/>
      <c r="F69" s="62"/>
      <c r="G69" s="62"/>
      <c r="H69" s="75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56"/>
      <c r="AI69" s="84"/>
    </row>
    <row r="70" spans="1:219" ht="18">
      <c r="A70" s="115" t="s">
        <v>67</v>
      </c>
      <c r="B70" s="115"/>
      <c r="C70" s="62"/>
      <c r="D70" s="62"/>
      <c r="E70" s="62"/>
      <c r="F70" s="62"/>
      <c r="G70" s="62"/>
      <c r="H70" s="75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56"/>
      <c r="AI70" s="84"/>
    </row>
    <row r="71" spans="1:219" ht="34.799999999999997">
      <c r="A71" s="69"/>
      <c r="B71" s="83" t="s">
        <v>68</v>
      </c>
      <c r="C71" s="62"/>
      <c r="D71" s="62"/>
      <c r="E71" s="62"/>
      <c r="F71" s="62"/>
      <c r="G71" s="62"/>
      <c r="H71" s="75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56"/>
      <c r="AI71" s="84"/>
    </row>
    <row r="72" spans="1:219" ht="18">
      <c r="A72" s="52" t="s">
        <v>32</v>
      </c>
      <c r="B72" s="53" t="s">
        <v>30</v>
      </c>
      <c r="C72" s="62"/>
      <c r="D72" s="62"/>
      <c r="E72" s="62"/>
      <c r="F72" s="62"/>
      <c r="G72" s="62"/>
      <c r="H72" s="75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56"/>
      <c r="AI72" s="84"/>
    </row>
    <row r="73" spans="1:219" ht="18">
      <c r="A73" s="52" t="s">
        <v>33</v>
      </c>
      <c r="B73" s="53" t="s">
        <v>31</v>
      </c>
      <c r="C73" s="62"/>
      <c r="D73" s="62"/>
      <c r="E73" s="62"/>
      <c r="F73" s="62"/>
      <c r="G73" s="62"/>
      <c r="H73" s="75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56"/>
      <c r="AI73" s="84"/>
    </row>
    <row r="74" spans="1:219" ht="18">
      <c r="A74" s="52" t="s">
        <v>27</v>
      </c>
      <c r="B74" s="61"/>
      <c r="C74" s="62"/>
      <c r="D74" s="62"/>
      <c r="E74" s="62"/>
      <c r="F74" s="62"/>
      <c r="G74" s="62"/>
      <c r="H74" s="75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56"/>
      <c r="AI74" s="84"/>
    </row>
    <row r="75" spans="1:219" ht="23.4">
      <c r="O75" s="19"/>
      <c r="P75" s="19"/>
      <c r="Q75" s="19"/>
      <c r="R75" s="19"/>
      <c r="S75" s="20"/>
      <c r="AB75" s="9"/>
      <c r="AC75" s="9"/>
      <c r="AD75" s="9"/>
      <c r="AE75" s="9"/>
      <c r="AF75" s="10"/>
    </row>
    <row r="76" spans="1:219" s="22" customFormat="1">
      <c r="A76" s="40" t="s">
        <v>93</v>
      </c>
      <c r="B76" s="42" t="s">
        <v>94</v>
      </c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</row>
    <row r="77" spans="1:219" s="22" customFormat="1">
      <c r="A77" s="40" t="s">
        <v>95</v>
      </c>
      <c r="B77" s="43" t="s">
        <v>96</v>
      </c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</row>
    <row r="78" spans="1:219" s="22" customFormat="1">
      <c r="A78" s="40" t="s">
        <v>97</v>
      </c>
      <c r="B78" s="42" t="s">
        <v>98</v>
      </c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</row>
    <row r="79" spans="1:219" s="22" customFormat="1" ht="27" customHeight="1">
      <c r="A79" s="41"/>
      <c r="B79" s="42" t="s">
        <v>134</v>
      </c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</row>
    <row r="80" spans="1:219">
      <c r="B80" s="3"/>
    </row>
  </sheetData>
  <mergeCells count="32">
    <mergeCell ref="AF8:AI8"/>
    <mergeCell ref="AH14:AH15"/>
    <mergeCell ref="AI14:AI15"/>
    <mergeCell ref="Z16:AI16"/>
    <mergeCell ref="AG14:AG15"/>
    <mergeCell ref="A70:B70"/>
    <mergeCell ref="C15:H15"/>
    <mergeCell ref="B13:B15"/>
    <mergeCell ref="A13:A15"/>
    <mergeCell ref="I15:N15"/>
    <mergeCell ref="O13:O15"/>
    <mergeCell ref="A10:AI10"/>
    <mergeCell ref="A11:AI11"/>
    <mergeCell ref="U14:U15"/>
    <mergeCell ref="P16:Y16"/>
    <mergeCell ref="Z14:AD14"/>
    <mergeCell ref="AE14:AE15"/>
    <mergeCell ref="AF14:AF15"/>
    <mergeCell ref="P13:AI13"/>
    <mergeCell ref="P14:T14"/>
    <mergeCell ref="C13:H14"/>
    <mergeCell ref="I13:N14"/>
    <mergeCell ref="V14:V15"/>
    <mergeCell ref="W14:W15"/>
    <mergeCell ref="X14:X15"/>
    <mergeCell ref="Y14:Y15"/>
    <mergeCell ref="AG7:AI7"/>
    <mergeCell ref="AG1:AI1"/>
    <mergeCell ref="AG2:AI2"/>
    <mergeCell ref="AG3:AI3"/>
    <mergeCell ref="AG4:AI4"/>
    <mergeCell ref="AG5:AI5"/>
  </mergeCells>
  <printOptions horizontalCentered="1"/>
  <pageMargins left="0.19685039370078741" right="0.19685039370078741" top="0.19685039370078741" bottom="0.19685039370078741" header="0" footer="0"/>
  <pageSetup paperSize="9" scale="37" fitToHeight="16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workbookViewId="0">
      <selection activeCell="E24" sqref="E24"/>
    </sheetView>
  </sheetViews>
  <sheetFormatPr defaultRowHeight="14.4"/>
  <cols>
    <col min="1" max="1" width="36.5546875" customWidth="1"/>
    <col min="2" max="2" width="16.33203125" customWidth="1"/>
    <col min="3" max="4" width="18.88671875" customWidth="1"/>
    <col min="5" max="5" width="25.44140625" customWidth="1"/>
    <col min="6" max="9" width="9.109375" style="10"/>
  </cols>
  <sheetData>
    <row r="2" spans="1:9" ht="15.6">
      <c r="A2" s="135" t="s">
        <v>100</v>
      </c>
      <c r="B2" s="135" t="s">
        <v>105</v>
      </c>
      <c r="C2" s="136" t="s">
        <v>78</v>
      </c>
      <c r="D2" s="136"/>
      <c r="E2" s="136"/>
      <c r="F2" s="31"/>
      <c r="G2" s="31"/>
      <c r="H2" s="31"/>
      <c r="I2" s="31"/>
    </row>
    <row r="3" spans="1:9" ht="15.6">
      <c r="A3" s="135"/>
      <c r="B3" s="135"/>
      <c r="C3" s="135" t="s">
        <v>99</v>
      </c>
      <c r="D3" s="135"/>
      <c r="E3" s="135"/>
      <c r="F3" s="134"/>
      <c r="G3" s="134"/>
      <c r="H3" s="134"/>
      <c r="I3" s="134"/>
    </row>
    <row r="4" spans="1:9" ht="78">
      <c r="A4" s="135"/>
      <c r="B4" s="135"/>
      <c r="C4" s="27" t="s">
        <v>131</v>
      </c>
      <c r="D4" s="27" t="s">
        <v>115</v>
      </c>
      <c r="E4" s="27" t="s">
        <v>132</v>
      </c>
      <c r="F4" s="32"/>
      <c r="G4" s="32"/>
      <c r="H4" s="32"/>
      <c r="I4" s="32"/>
    </row>
    <row r="5" spans="1:9" ht="15.6">
      <c r="A5" s="137" t="s">
        <v>114</v>
      </c>
      <c r="B5" s="137"/>
      <c r="C5" s="34">
        <f>SUM(C6:C28)</f>
        <v>259.351</v>
      </c>
      <c r="D5" s="34">
        <f>SUM(D6:D28)</f>
        <v>309.45044999999993</v>
      </c>
      <c r="E5" s="34">
        <f>SUM(E6:E28)</f>
        <v>309.45044999999993</v>
      </c>
      <c r="F5" s="32"/>
      <c r="G5" s="32"/>
      <c r="H5" s="32"/>
      <c r="I5" s="32"/>
    </row>
    <row r="6" spans="1:9" ht="15.6">
      <c r="A6" s="132" t="s">
        <v>116</v>
      </c>
      <c r="B6" s="28" t="s">
        <v>106</v>
      </c>
      <c r="C6" s="133">
        <v>16.617999999999999</v>
      </c>
      <c r="D6" s="133">
        <f>E6+E7</f>
        <v>18.783000000000001</v>
      </c>
      <c r="E6" s="7">
        <v>10.782999999999999</v>
      </c>
      <c r="F6" s="26"/>
      <c r="G6" s="26"/>
      <c r="H6" s="26"/>
      <c r="I6" s="26"/>
    </row>
    <row r="7" spans="1:9" ht="15.6">
      <c r="A7" s="132"/>
      <c r="B7" s="28" t="s">
        <v>107</v>
      </c>
      <c r="C7" s="133"/>
      <c r="D7" s="133"/>
      <c r="E7" s="7">
        <v>8</v>
      </c>
      <c r="F7" s="26"/>
      <c r="G7" s="26"/>
      <c r="H7" s="26"/>
      <c r="I7" s="26"/>
    </row>
    <row r="8" spans="1:9" ht="15.6">
      <c r="A8" s="138" t="s">
        <v>117</v>
      </c>
      <c r="B8" s="28" t="s">
        <v>106</v>
      </c>
      <c r="C8" s="133">
        <v>7.2619999999999996</v>
      </c>
      <c r="D8" s="133">
        <f>E8+E9</f>
        <v>13.266</v>
      </c>
      <c r="E8" s="7">
        <v>11.266</v>
      </c>
      <c r="F8" s="26"/>
      <c r="G8" s="26"/>
      <c r="H8" s="26"/>
      <c r="I8" s="26"/>
    </row>
    <row r="9" spans="1:9" ht="15.6">
      <c r="A9" s="138"/>
      <c r="B9" s="28" t="s">
        <v>107</v>
      </c>
      <c r="C9" s="133"/>
      <c r="D9" s="133"/>
      <c r="E9" s="7">
        <v>2</v>
      </c>
      <c r="F9" s="26"/>
      <c r="G9" s="26"/>
      <c r="H9" s="26"/>
      <c r="I9" s="26"/>
    </row>
    <row r="10" spans="1:9" ht="15.6">
      <c r="A10" s="35" t="s">
        <v>118</v>
      </c>
      <c r="B10" s="28" t="s">
        <v>108</v>
      </c>
      <c r="C10" s="7">
        <v>7.2329999999999997</v>
      </c>
      <c r="D10" s="7">
        <f>E10</f>
        <v>8.0579999999999998</v>
      </c>
      <c r="E10" s="7">
        <v>8.0579999999999998</v>
      </c>
      <c r="F10" s="26"/>
      <c r="G10" s="26"/>
      <c r="H10" s="26"/>
      <c r="I10" s="26"/>
    </row>
    <row r="11" spans="1:9" ht="15.6">
      <c r="A11" s="35" t="s">
        <v>119</v>
      </c>
      <c r="B11" s="28" t="s">
        <v>109</v>
      </c>
      <c r="C11" s="7">
        <v>7.36</v>
      </c>
      <c r="D11" s="7">
        <f>E11</f>
        <v>9.7370000000000001</v>
      </c>
      <c r="E11" s="7">
        <v>9.7370000000000001</v>
      </c>
      <c r="F11" s="26"/>
      <c r="G11" s="26"/>
      <c r="H11" s="26"/>
      <c r="I11" s="26"/>
    </row>
    <row r="12" spans="1:9" ht="15.6">
      <c r="A12" s="35" t="s">
        <v>120</v>
      </c>
      <c r="B12" s="28" t="s">
        <v>106</v>
      </c>
      <c r="C12" s="7">
        <v>32.008000000000003</v>
      </c>
      <c r="D12" s="7">
        <f>E12</f>
        <v>1</v>
      </c>
      <c r="E12" s="7">
        <v>1</v>
      </c>
      <c r="F12" s="26"/>
      <c r="G12" s="26"/>
      <c r="H12" s="26"/>
      <c r="I12" s="26"/>
    </row>
    <row r="13" spans="1:9" ht="15.6">
      <c r="A13" s="35" t="s">
        <v>101</v>
      </c>
      <c r="B13" s="28" t="s">
        <v>110</v>
      </c>
      <c r="C13" s="7">
        <v>31.03</v>
      </c>
      <c r="D13" s="7">
        <f>E13</f>
        <v>31.03</v>
      </c>
      <c r="E13" s="7">
        <v>31.03</v>
      </c>
      <c r="F13" s="26"/>
      <c r="G13" s="26"/>
      <c r="H13" s="26"/>
      <c r="I13" s="26"/>
    </row>
    <row r="14" spans="1:9" ht="15.6">
      <c r="A14" s="35" t="s">
        <v>102</v>
      </c>
      <c r="B14" s="28" t="s">
        <v>111</v>
      </c>
      <c r="C14" s="7">
        <v>0</v>
      </c>
      <c r="D14" s="7">
        <v>0</v>
      </c>
      <c r="E14" s="7">
        <v>0</v>
      </c>
      <c r="F14" s="26"/>
      <c r="G14" s="26"/>
      <c r="H14" s="26"/>
      <c r="I14" s="26"/>
    </row>
    <row r="15" spans="1:9" ht="15.6">
      <c r="A15" s="35" t="s">
        <v>103</v>
      </c>
      <c r="B15" s="28" t="s">
        <v>112</v>
      </c>
      <c r="C15" s="7">
        <v>0</v>
      </c>
      <c r="D15" s="7">
        <f>E15</f>
        <v>93.182000000000002</v>
      </c>
      <c r="E15" s="7">
        <v>93.182000000000002</v>
      </c>
      <c r="F15" s="26"/>
      <c r="G15" s="26"/>
      <c r="H15" s="26"/>
      <c r="I15" s="26"/>
    </row>
    <row r="16" spans="1:9" ht="15.6">
      <c r="A16" s="35" t="s">
        <v>104</v>
      </c>
      <c r="B16" s="28" t="s">
        <v>112</v>
      </c>
      <c r="C16" s="7">
        <v>29.414999999999999</v>
      </c>
      <c r="D16" s="7">
        <f>E16</f>
        <v>4.415</v>
      </c>
      <c r="E16" s="7">
        <v>4.415</v>
      </c>
      <c r="F16" s="26"/>
      <c r="G16" s="26"/>
      <c r="H16" s="26"/>
      <c r="I16" s="26"/>
    </row>
    <row r="17" spans="1:9" ht="15.6">
      <c r="A17" s="36" t="s">
        <v>125</v>
      </c>
      <c r="B17" s="30" t="s">
        <v>109</v>
      </c>
      <c r="C17" s="8">
        <v>10</v>
      </c>
      <c r="D17" s="8">
        <f>E17</f>
        <v>43.128</v>
      </c>
      <c r="E17" s="8">
        <v>43.128</v>
      </c>
      <c r="F17" s="26"/>
      <c r="G17" s="26"/>
      <c r="H17" s="26"/>
      <c r="I17" s="26"/>
    </row>
    <row r="18" spans="1:9" ht="15.6">
      <c r="A18" s="35" t="s">
        <v>121</v>
      </c>
      <c r="B18" s="28" t="s">
        <v>106</v>
      </c>
      <c r="C18" s="7">
        <v>83.617999999999995</v>
      </c>
      <c r="D18" s="7">
        <f>E18</f>
        <v>10</v>
      </c>
      <c r="E18" s="7">
        <v>10</v>
      </c>
      <c r="F18" s="26"/>
      <c r="G18" s="26"/>
      <c r="H18" s="26"/>
      <c r="I18" s="26"/>
    </row>
    <row r="19" spans="1:9" ht="15.6">
      <c r="A19" s="35" t="s">
        <v>122</v>
      </c>
      <c r="B19" s="28" t="s">
        <v>106</v>
      </c>
      <c r="C19" s="7">
        <v>8.31</v>
      </c>
      <c r="D19" s="29">
        <f>E19</f>
        <v>7.14</v>
      </c>
      <c r="E19" s="7">
        <v>7.14</v>
      </c>
      <c r="F19" s="26"/>
      <c r="G19" s="26"/>
      <c r="H19" s="26"/>
      <c r="I19" s="26"/>
    </row>
    <row r="20" spans="1:9" ht="15.6">
      <c r="A20" s="138" t="s">
        <v>123</v>
      </c>
      <c r="B20" s="28" t="s">
        <v>106</v>
      </c>
      <c r="C20" s="133">
        <v>7.2709999999999999</v>
      </c>
      <c r="D20" s="133">
        <f>E20+E21</f>
        <v>8.7799999999999994</v>
      </c>
      <c r="E20" s="7">
        <v>3.78</v>
      </c>
      <c r="F20" s="26"/>
      <c r="G20" s="26"/>
      <c r="H20" s="26"/>
      <c r="I20" s="26"/>
    </row>
    <row r="21" spans="1:9" ht="15.6">
      <c r="A21" s="138"/>
      <c r="B21" s="28" t="s">
        <v>107</v>
      </c>
      <c r="C21" s="133"/>
      <c r="D21" s="133"/>
      <c r="E21" s="7">
        <v>5</v>
      </c>
      <c r="F21" s="26"/>
      <c r="G21" s="26"/>
      <c r="H21" s="26"/>
      <c r="I21" s="26"/>
    </row>
    <row r="22" spans="1:9" ht="31.2">
      <c r="A22" s="37" t="s">
        <v>126</v>
      </c>
      <c r="B22" s="28" t="s">
        <v>107</v>
      </c>
      <c r="C22" s="133">
        <v>7.2619999999999996</v>
      </c>
      <c r="D22" s="133">
        <f>E22+E23</f>
        <v>14.870000000000001</v>
      </c>
      <c r="E22" s="7">
        <v>8.24</v>
      </c>
      <c r="F22" s="26"/>
      <c r="G22" s="26"/>
      <c r="H22" s="26"/>
      <c r="I22" s="26"/>
    </row>
    <row r="23" spans="1:9" ht="15.6">
      <c r="A23" s="38" t="s">
        <v>127</v>
      </c>
      <c r="B23" s="28" t="s">
        <v>107</v>
      </c>
      <c r="C23" s="133"/>
      <c r="D23" s="133"/>
      <c r="E23" s="7">
        <v>6.63</v>
      </c>
      <c r="F23" s="26"/>
      <c r="G23" s="26"/>
      <c r="H23" s="26"/>
      <c r="I23" s="26"/>
    </row>
    <row r="24" spans="1:9" ht="15.6">
      <c r="A24" s="35" t="s">
        <v>124</v>
      </c>
      <c r="B24" s="28" t="s">
        <v>108</v>
      </c>
      <c r="C24" s="7">
        <v>7.2329999999999997</v>
      </c>
      <c r="D24" s="7">
        <f t="shared" ref="D24:D28" si="0">E24</f>
        <v>6.02</v>
      </c>
      <c r="E24" s="7">
        <v>6.02</v>
      </c>
      <c r="F24" s="26"/>
      <c r="G24" s="26"/>
      <c r="H24" s="26"/>
      <c r="I24" s="26"/>
    </row>
    <row r="25" spans="1:9" ht="15.6">
      <c r="A25" s="132" t="s">
        <v>128</v>
      </c>
      <c r="B25" s="28" t="s">
        <v>106</v>
      </c>
      <c r="C25" s="133">
        <v>4.7309999999999999</v>
      </c>
      <c r="D25" s="133">
        <f>E25+E26</f>
        <v>8.9400000000000013</v>
      </c>
      <c r="E25" s="7">
        <v>4</v>
      </c>
      <c r="F25" s="26"/>
      <c r="G25" s="26"/>
      <c r="H25" s="26"/>
      <c r="I25" s="26"/>
    </row>
    <row r="26" spans="1:9" ht="15.6">
      <c r="A26" s="132"/>
      <c r="B26" s="28" t="s">
        <v>107</v>
      </c>
      <c r="C26" s="133"/>
      <c r="D26" s="133"/>
      <c r="E26" s="7">
        <v>4.9400000000000004</v>
      </c>
      <c r="F26" s="26"/>
      <c r="G26" s="26"/>
      <c r="H26" s="26"/>
      <c r="I26" s="26"/>
    </row>
    <row r="27" spans="1:9" ht="31.2">
      <c r="A27" s="37" t="s">
        <v>129</v>
      </c>
      <c r="B27" s="28" t="s">
        <v>113</v>
      </c>
      <c r="C27" s="1">
        <v>0</v>
      </c>
      <c r="D27" s="7">
        <f t="shared" si="0"/>
        <v>7.3</v>
      </c>
      <c r="E27" s="1">
        <v>7.3</v>
      </c>
      <c r="F27" s="33"/>
      <c r="G27" s="33"/>
      <c r="H27" s="33"/>
      <c r="I27" s="33"/>
    </row>
    <row r="28" spans="1:9" ht="15.6">
      <c r="A28" s="35" t="s">
        <v>130</v>
      </c>
      <c r="B28" s="28" t="s">
        <v>108</v>
      </c>
      <c r="C28" s="1">
        <v>0</v>
      </c>
      <c r="D28" s="7">
        <f t="shared" si="0"/>
        <v>23.801449999999999</v>
      </c>
      <c r="E28" s="1">
        <v>23.801449999999999</v>
      </c>
    </row>
  </sheetData>
  <mergeCells count="21">
    <mergeCell ref="F3:G3"/>
    <mergeCell ref="H3:I3"/>
    <mergeCell ref="D25:D26"/>
    <mergeCell ref="A2:A4"/>
    <mergeCell ref="B2:B4"/>
    <mergeCell ref="C6:C7"/>
    <mergeCell ref="D6:D7"/>
    <mergeCell ref="C2:E2"/>
    <mergeCell ref="C3:E3"/>
    <mergeCell ref="C22:C23"/>
    <mergeCell ref="D22:D23"/>
    <mergeCell ref="C25:C26"/>
    <mergeCell ref="A5:B5"/>
    <mergeCell ref="A6:A7"/>
    <mergeCell ref="A8:A9"/>
    <mergeCell ref="A20:A21"/>
    <mergeCell ref="A25:A26"/>
    <mergeCell ref="C20:C21"/>
    <mergeCell ref="C8:C9"/>
    <mergeCell ref="D8:D9"/>
    <mergeCell ref="D20:D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П.1.1</vt:lpstr>
      <vt:lpstr>П.1.3</vt:lpstr>
      <vt:lpstr>Для совещания</vt:lpstr>
      <vt:lpstr>П.1.1!Область_печати</vt:lpstr>
      <vt:lpstr>П.1.3!Область_печати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2019-10-25T03:46:57Z</dcterms:modified>
</cp:coreProperties>
</file>